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90" windowWidth="15195" windowHeight="11250"/>
  </bookViews>
  <sheets>
    <sheet name="ANEXO I" sheetId="12" r:id="rId1"/>
    <sheet name="ANEXOII" sheetId="1" r:id="rId2"/>
    <sheet name="FGP " sheetId="7" r:id="rId3"/>
    <sheet name="FFM " sheetId="8" r:id="rId4"/>
    <sheet name="IEPS " sheetId="2" r:id="rId5"/>
    <sheet name="GASOLINA " sheetId="4" r:id="rId6"/>
    <sheet name="FOFIR" sheetId="5" r:id="rId7"/>
    <sheet name="FOCO" sheetId="6" r:id="rId8"/>
    <sheet name="ISAN y fondo compensacion isan" sheetId="3" r:id="rId9"/>
    <sheet name="CENSO " sheetId="10" r:id="rId10"/>
    <sheet name="datos de predial y agua" sheetId="11" r:id="rId11"/>
  </sheets>
  <externalReferences>
    <externalReference r:id="rId12"/>
    <externalReference r:id="rId13"/>
    <externalReference r:id="rId14"/>
    <externalReference r:id="rId15"/>
  </externalReferences>
  <calcPr calcId="145621"/>
</workbook>
</file>

<file path=xl/calcChain.xml><?xml version="1.0" encoding="utf-8"?>
<calcChain xmlns="http://schemas.openxmlformats.org/spreadsheetml/2006/main">
  <c r="C9" i="1" l="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F27" i="11"/>
  <c r="E27" i="11"/>
  <c r="G27" i="11" s="1"/>
  <c r="C27" i="11"/>
  <c r="B27" i="11"/>
  <c r="D27" i="11" s="1"/>
  <c r="D7" i="11"/>
  <c r="C30" i="10"/>
  <c r="C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62" i="8" s="1"/>
  <c r="C31" i="8"/>
  <c r="D30" i="8"/>
  <c r="E28" i="1" s="1"/>
  <c r="D29" i="8"/>
  <c r="E27" i="1" s="1"/>
  <c r="D28" i="8"/>
  <c r="E26" i="1" s="1"/>
  <c r="D27" i="8"/>
  <c r="E25" i="1" s="1"/>
  <c r="D26" i="8"/>
  <c r="E24" i="1" s="1"/>
  <c r="D25" i="8"/>
  <c r="E23" i="1" s="1"/>
  <c r="D24" i="8"/>
  <c r="E22" i="1" s="1"/>
  <c r="D23" i="8"/>
  <c r="E21" i="1" s="1"/>
  <c r="D22" i="8"/>
  <c r="E20" i="1" s="1"/>
  <c r="D21" i="8"/>
  <c r="E19" i="1" s="1"/>
  <c r="D20" i="8"/>
  <c r="E18" i="1" s="1"/>
  <c r="D19" i="8"/>
  <c r="E17" i="1" s="1"/>
  <c r="D18" i="8"/>
  <c r="E16" i="1" s="1"/>
  <c r="D17" i="8"/>
  <c r="E15" i="1" s="1"/>
  <c r="D16" i="8"/>
  <c r="E14" i="1" s="1"/>
  <c r="D15" i="8"/>
  <c r="E13" i="1" s="1"/>
  <c r="D14" i="8"/>
  <c r="E12" i="1" s="1"/>
  <c r="D13" i="8"/>
  <c r="E11" i="1" s="1"/>
  <c r="D12" i="8"/>
  <c r="E10" i="1" s="1"/>
  <c r="D11" i="8"/>
  <c r="E9" i="1" s="1"/>
  <c r="F31" i="7"/>
  <c r="E30" i="7" s="1"/>
  <c r="G30" i="7" s="1"/>
  <c r="H30" i="7" s="1"/>
  <c r="I30" i="7" s="1"/>
  <c r="C31" i="7"/>
  <c r="K30" i="7"/>
  <c r="L30" i="7" s="1"/>
  <c r="D30" i="7"/>
  <c r="K29" i="7"/>
  <c r="L29" i="7" s="1"/>
  <c r="E29" i="7"/>
  <c r="G29" i="7" s="1"/>
  <c r="H29" i="7" s="1"/>
  <c r="I29" i="7" s="1"/>
  <c r="D29" i="7"/>
  <c r="K28" i="7"/>
  <c r="L28" i="7" s="1"/>
  <c r="E28" i="7"/>
  <c r="G28" i="7" s="1"/>
  <c r="H28" i="7" s="1"/>
  <c r="I28" i="7" s="1"/>
  <c r="D28" i="7"/>
  <c r="K27" i="7"/>
  <c r="L27" i="7" s="1"/>
  <c r="E27" i="7"/>
  <c r="G27" i="7" s="1"/>
  <c r="H27" i="7" s="1"/>
  <c r="I27" i="7" s="1"/>
  <c r="D27" i="7"/>
  <c r="K26" i="7"/>
  <c r="L26" i="7" s="1"/>
  <c r="E26" i="7"/>
  <c r="G26" i="7" s="1"/>
  <c r="H26" i="7" s="1"/>
  <c r="I26" i="7" s="1"/>
  <c r="D26" i="7"/>
  <c r="K25" i="7"/>
  <c r="L25" i="7" s="1"/>
  <c r="E25" i="7"/>
  <c r="G25" i="7" s="1"/>
  <c r="H25" i="7" s="1"/>
  <c r="I25" i="7" s="1"/>
  <c r="D25" i="7"/>
  <c r="K24" i="7"/>
  <c r="L24" i="7" s="1"/>
  <c r="E24" i="7"/>
  <c r="G24" i="7" s="1"/>
  <c r="H24" i="7" s="1"/>
  <c r="I24" i="7" s="1"/>
  <c r="D24" i="7"/>
  <c r="K23" i="7"/>
  <c r="L23" i="7" s="1"/>
  <c r="E23" i="7"/>
  <c r="G23" i="7" s="1"/>
  <c r="H23" i="7" s="1"/>
  <c r="I23" i="7" s="1"/>
  <c r="D23" i="7"/>
  <c r="K22" i="7"/>
  <c r="L22" i="7" s="1"/>
  <c r="E22" i="7"/>
  <c r="G22" i="7" s="1"/>
  <c r="H22" i="7" s="1"/>
  <c r="I22" i="7" s="1"/>
  <c r="D22" i="7"/>
  <c r="K21" i="7"/>
  <c r="L21" i="7" s="1"/>
  <c r="E21" i="7"/>
  <c r="G21" i="7" s="1"/>
  <c r="H21" i="7" s="1"/>
  <c r="I21" i="7" s="1"/>
  <c r="D21" i="7"/>
  <c r="K20" i="7"/>
  <c r="L20" i="7" s="1"/>
  <c r="E20" i="7"/>
  <c r="G20" i="7" s="1"/>
  <c r="H20" i="7" s="1"/>
  <c r="I20" i="7" s="1"/>
  <c r="D20" i="7"/>
  <c r="K19" i="7"/>
  <c r="L19" i="7" s="1"/>
  <c r="E19" i="7"/>
  <c r="G19" i="7" s="1"/>
  <c r="H19" i="7" s="1"/>
  <c r="I19" i="7" s="1"/>
  <c r="D19" i="7"/>
  <c r="K18" i="7"/>
  <c r="L18" i="7" s="1"/>
  <c r="E18" i="7"/>
  <c r="G18" i="7" s="1"/>
  <c r="H18" i="7" s="1"/>
  <c r="I18" i="7" s="1"/>
  <c r="D18" i="7"/>
  <c r="K17" i="7"/>
  <c r="L17" i="7" s="1"/>
  <c r="E17" i="7"/>
  <c r="G17" i="7" s="1"/>
  <c r="H17" i="7" s="1"/>
  <c r="I17" i="7" s="1"/>
  <c r="D17" i="7"/>
  <c r="K16" i="7"/>
  <c r="L16" i="7" s="1"/>
  <c r="E16" i="7"/>
  <c r="G16" i="7" s="1"/>
  <c r="H16" i="7" s="1"/>
  <c r="I16" i="7" s="1"/>
  <c r="D16" i="7"/>
  <c r="K15" i="7"/>
  <c r="L15" i="7" s="1"/>
  <c r="E15" i="7"/>
  <c r="G15" i="7" s="1"/>
  <c r="H15" i="7" s="1"/>
  <c r="I15" i="7" s="1"/>
  <c r="D15" i="7"/>
  <c r="K14" i="7"/>
  <c r="L14" i="7" s="1"/>
  <c r="E14" i="7"/>
  <c r="G14" i="7" s="1"/>
  <c r="H14" i="7" s="1"/>
  <c r="I14" i="7" s="1"/>
  <c r="D14" i="7"/>
  <c r="K13" i="7"/>
  <c r="L13" i="7" s="1"/>
  <c r="E13" i="7"/>
  <c r="G13" i="7" s="1"/>
  <c r="H13" i="7" s="1"/>
  <c r="I13" i="7" s="1"/>
  <c r="D13" i="7"/>
  <c r="K12" i="7"/>
  <c r="L12" i="7" s="1"/>
  <c r="E12" i="7"/>
  <c r="G12" i="7" s="1"/>
  <c r="H12" i="7" s="1"/>
  <c r="I12" i="7" s="1"/>
  <c r="D12" i="7"/>
  <c r="K11" i="7"/>
  <c r="E11" i="7"/>
  <c r="D11" i="7"/>
  <c r="E30" i="6"/>
  <c r="C30" i="6"/>
  <c r="P29" i="6"/>
  <c r="K29" i="6"/>
  <c r="G29" i="6"/>
  <c r="F29" i="6"/>
  <c r="P28" i="6"/>
  <c r="K28" i="6"/>
  <c r="G28" i="6"/>
  <c r="F28" i="6"/>
  <c r="P27" i="6"/>
  <c r="K27" i="6"/>
  <c r="G27" i="6"/>
  <c r="F27" i="6"/>
  <c r="P26" i="6"/>
  <c r="K26" i="6"/>
  <c r="G26" i="6"/>
  <c r="F26" i="6"/>
  <c r="P25" i="6"/>
  <c r="K25" i="6"/>
  <c r="G25" i="6"/>
  <c r="F25" i="6"/>
  <c r="P24" i="6"/>
  <c r="K24" i="6"/>
  <c r="G24" i="6"/>
  <c r="F24" i="6"/>
  <c r="P23" i="6"/>
  <c r="K23" i="6"/>
  <c r="G23" i="6"/>
  <c r="F23" i="6"/>
  <c r="P22" i="6"/>
  <c r="K22" i="6"/>
  <c r="G22" i="6"/>
  <c r="F22" i="6"/>
  <c r="P21" i="6"/>
  <c r="K21" i="6"/>
  <c r="G21" i="6"/>
  <c r="F21" i="6"/>
  <c r="P20" i="6"/>
  <c r="K20" i="6"/>
  <c r="G20" i="6"/>
  <c r="F20" i="6"/>
  <c r="P19" i="6"/>
  <c r="K19" i="6"/>
  <c r="G19" i="6"/>
  <c r="F19" i="6"/>
  <c r="P18" i="6"/>
  <c r="K18" i="6"/>
  <c r="G18" i="6"/>
  <c r="F18" i="6"/>
  <c r="P17" i="6"/>
  <c r="K17" i="6"/>
  <c r="G17" i="6"/>
  <c r="F17" i="6"/>
  <c r="P16" i="6"/>
  <c r="K16" i="6"/>
  <c r="G16" i="6"/>
  <c r="F16" i="6"/>
  <c r="P15" i="6"/>
  <c r="K15" i="6"/>
  <c r="G15" i="6"/>
  <c r="F15" i="6"/>
  <c r="P14" i="6"/>
  <c r="K14" i="6"/>
  <c r="G14" i="6"/>
  <c r="F14" i="6"/>
  <c r="P13" i="6"/>
  <c r="K13" i="6"/>
  <c r="G13" i="6"/>
  <c r="F13" i="6"/>
  <c r="P12" i="6"/>
  <c r="K12" i="6"/>
  <c r="G12" i="6"/>
  <c r="F12" i="6"/>
  <c r="P11" i="6"/>
  <c r="K11" i="6"/>
  <c r="G11" i="6"/>
  <c r="F11" i="6"/>
  <c r="P10" i="6"/>
  <c r="P30" i="6" s="1"/>
  <c r="K10" i="6"/>
  <c r="K30" i="6" s="1"/>
  <c r="G10" i="6"/>
  <c r="F10" i="6"/>
  <c r="F30" i="6" s="1"/>
  <c r="G29" i="5"/>
  <c r="E29" i="5"/>
  <c r="C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F29" i="4"/>
  <c r="E29" i="4"/>
  <c r="C29" i="4"/>
  <c r="G28" i="4"/>
  <c r="D28" i="4"/>
  <c r="G27" i="4"/>
  <c r="D27" i="4"/>
  <c r="G26" i="4"/>
  <c r="D26" i="4"/>
  <c r="G25" i="4"/>
  <c r="D25" i="4"/>
  <c r="G24" i="4"/>
  <c r="D24" i="4"/>
  <c r="G23" i="4"/>
  <c r="D23" i="4"/>
  <c r="G22" i="4"/>
  <c r="D22" i="4"/>
  <c r="G21" i="4"/>
  <c r="D21" i="4"/>
  <c r="G20" i="4"/>
  <c r="D20" i="4"/>
  <c r="G19" i="4"/>
  <c r="D19" i="4"/>
  <c r="G18" i="4"/>
  <c r="D18" i="4"/>
  <c r="G17" i="4"/>
  <c r="D17" i="4"/>
  <c r="G16" i="4"/>
  <c r="D16" i="4"/>
  <c r="G15" i="4"/>
  <c r="D15" i="4"/>
  <c r="G14" i="4"/>
  <c r="D14" i="4"/>
  <c r="G13" i="4"/>
  <c r="D13" i="4"/>
  <c r="G12" i="4"/>
  <c r="D12" i="4"/>
  <c r="G11" i="4"/>
  <c r="D11" i="4"/>
  <c r="G10" i="4"/>
  <c r="D10" i="4"/>
  <c r="G9" i="4"/>
  <c r="D9" i="4"/>
  <c r="M30" i="3"/>
  <c r="E30" i="3"/>
  <c r="C30" i="3"/>
  <c r="F29" i="3"/>
  <c r="D29" i="3"/>
  <c r="F28" i="3"/>
  <c r="D28" i="3"/>
  <c r="F27" i="3"/>
  <c r="D27" i="3"/>
  <c r="F26" i="3"/>
  <c r="D26" i="3"/>
  <c r="F25" i="3"/>
  <c r="D25" i="3"/>
  <c r="F24" i="3"/>
  <c r="D24" i="3"/>
  <c r="F23" i="3"/>
  <c r="D23" i="3"/>
  <c r="F22" i="3"/>
  <c r="D22" i="3"/>
  <c r="F21" i="3"/>
  <c r="D21" i="3"/>
  <c r="F20" i="3"/>
  <c r="D20" i="3"/>
  <c r="F19" i="3"/>
  <c r="D19" i="3"/>
  <c r="F18" i="3"/>
  <c r="D18" i="3"/>
  <c r="F17" i="3"/>
  <c r="D17" i="3"/>
  <c r="F16" i="3"/>
  <c r="D16" i="3"/>
  <c r="F15" i="3"/>
  <c r="D15" i="3"/>
  <c r="F14" i="3"/>
  <c r="D14" i="3"/>
  <c r="F13" i="3"/>
  <c r="D13" i="3"/>
  <c r="F12" i="3"/>
  <c r="D12" i="3"/>
  <c r="F11" i="3"/>
  <c r="D11" i="3"/>
  <c r="F10" i="3"/>
  <c r="D10" i="3"/>
  <c r="F29" i="2"/>
  <c r="C29" i="2"/>
  <c r="D29" i="2" s="1"/>
  <c r="F28" i="2"/>
  <c r="D28" i="2"/>
  <c r="G28" i="2" s="1"/>
  <c r="G28" i="1" s="1"/>
  <c r="F27" i="2"/>
  <c r="D27" i="2"/>
  <c r="G27" i="2" s="1"/>
  <c r="G27" i="1" s="1"/>
  <c r="F26" i="2"/>
  <c r="D26" i="2"/>
  <c r="G26" i="2" s="1"/>
  <c r="G26" i="1" s="1"/>
  <c r="F25" i="2"/>
  <c r="D25" i="2"/>
  <c r="G25" i="2" s="1"/>
  <c r="G25" i="1" s="1"/>
  <c r="F24" i="2"/>
  <c r="D24" i="2"/>
  <c r="G24" i="2" s="1"/>
  <c r="G24" i="1" s="1"/>
  <c r="F23" i="2"/>
  <c r="D23" i="2"/>
  <c r="G23" i="2" s="1"/>
  <c r="G23" i="1" s="1"/>
  <c r="F22" i="2"/>
  <c r="D22" i="2"/>
  <c r="G22" i="2" s="1"/>
  <c r="G22" i="1" s="1"/>
  <c r="F21" i="2"/>
  <c r="D21" i="2"/>
  <c r="G21" i="2" s="1"/>
  <c r="G21" i="1" s="1"/>
  <c r="F20" i="2"/>
  <c r="D20" i="2"/>
  <c r="G20" i="2" s="1"/>
  <c r="G20" i="1" s="1"/>
  <c r="F19" i="2"/>
  <c r="D19" i="2"/>
  <c r="G19" i="2" s="1"/>
  <c r="G19" i="1" s="1"/>
  <c r="F18" i="2"/>
  <c r="D18" i="2"/>
  <c r="G18" i="2" s="1"/>
  <c r="G18" i="1" s="1"/>
  <c r="F17" i="2"/>
  <c r="D17" i="2"/>
  <c r="G17" i="2" s="1"/>
  <c r="G17" i="1" s="1"/>
  <c r="F16" i="2"/>
  <c r="D16" i="2"/>
  <c r="G16" i="2" s="1"/>
  <c r="G16" i="1" s="1"/>
  <c r="F15" i="2"/>
  <c r="D15" i="2"/>
  <c r="G15" i="2" s="1"/>
  <c r="G15" i="1" s="1"/>
  <c r="F14" i="2"/>
  <c r="D14" i="2"/>
  <c r="G14" i="2" s="1"/>
  <c r="G14" i="1" s="1"/>
  <c r="F13" i="2"/>
  <c r="D13" i="2"/>
  <c r="G13" i="2" s="1"/>
  <c r="G13" i="1" s="1"/>
  <c r="F12" i="2"/>
  <c r="D12" i="2"/>
  <c r="G12" i="2" s="1"/>
  <c r="G12" i="1" s="1"/>
  <c r="F11" i="2"/>
  <c r="D11" i="2"/>
  <c r="G11" i="2" s="1"/>
  <c r="G11" i="1" s="1"/>
  <c r="F10" i="2"/>
  <c r="D10" i="2"/>
  <c r="G10" i="2" s="1"/>
  <c r="G10" i="1" s="1"/>
  <c r="F9" i="2"/>
  <c r="D9" i="2"/>
  <c r="G9" i="2" s="1"/>
  <c r="G29" i="2" s="1"/>
  <c r="H9" i="4" l="1"/>
  <c r="I9" i="1" s="1"/>
  <c r="H11" i="4"/>
  <c r="I11" i="1" s="1"/>
  <c r="H13" i="4"/>
  <c r="I13" i="1" s="1"/>
  <c r="H15" i="4"/>
  <c r="I15" i="1" s="1"/>
  <c r="H17" i="4"/>
  <c r="I17" i="1" s="1"/>
  <c r="H19" i="4"/>
  <c r="I19" i="1" s="1"/>
  <c r="H21" i="4"/>
  <c r="I21" i="1" s="1"/>
  <c r="H23" i="4"/>
  <c r="I23" i="1" s="1"/>
  <c r="H25" i="4"/>
  <c r="I25" i="1" s="1"/>
  <c r="H27" i="4"/>
  <c r="I27" i="1" s="1"/>
  <c r="D31" i="7"/>
  <c r="G9" i="1"/>
  <c r="G29" i="1" s="1"/>
  <c r="G30" i="6"/>
  <c r="H30" i="6" s="1"/>
  <c r="D30" i="3"/>
  <c r="G29" i="4"/>
  <c r="E31" i="7"/>
  <c r="G31" i="7" s="1"/>
  <c r="F30" i="3"/>
  <c r="H10" i="4"/>
  <c r="I10" i="1" s="1"/>
  <c r="H12" i="4"/>
  <c r="I12" i="1" s="1"/>
  <c r="H14" i="4"/>
  <c r="I14" i="1" s="1"/>
  <c r="H16" i="4"/>
  <c r="I16" i="1" s="1"/>
  <c r="H18" i="4"/>
  <c r="I18" i="1" s="1"/>
  <c r="H20" i="4"/>
  <c r="I20" i="1" s="1"/>
  <c r="H22" i="4"/>
  <c r="I22" i="1" s="1"/>
  <c r="H24" i="4"/>
  <c r="I24" i="1" s="1"/>
  <c r="H26" i="4"/>
  <c r="I26" i="1" s="1"/>
  <c r="H28" i="4"/>
  <c r="I28" i="1" s="1"/>
  <c r="K31" i="7"/>
  <c r="O12" i="7"/>
  <c r="P12" i="7" s="1"/>
  <c r="M12" i="7"/>
  <c r="N12" i="7" s="1"/>
  <c r="O14" i="7"/>
  <c r="P14" i="7" s="1"/>
  <c r="M14" i="7"/>
  <c r="N14" i="7" s="1"/>
  <c r="O16" i="7"/>
  <c r="P16" i="7" s="1"/>
  <c r="M16" i="7"/>
  <c r="N16" i="7" s="1"/>
  <c r="O18" i="7"/>
  <c r="P18" i="7" s="1"/>
  <c r="M18" i="7"/>
  <c r="O20" i="7"/>
  <c r="P20" i="7" s="1"/>
  <c r="M20" i="7"/>
  <c r="N20" i="7" s="1"/>
  <c r="O22" i="7"/>
  <c r="P22" i="7" s="1"/>
  <c r="M22" i="7"/>
  <c r="N22" i="7" s="1"/>
  <c r="O24" i="7"/>
  <c r="P24" i="7" s="1"/>
  <c r="M24" i="7"/>
  <c r="N24" i="7" s="1"/>
  <c r="O26" i="7"/>
  <c r="P26" i="7" s="1"/>
  <c r="M26" i="7"/>
  <c r="N26" i="7" s="1"/>
  <c r="O28" i="7"/>
  <c r="P28" i="7" s="1"/>
  <c r="M28" i="7"/>
  <c r="N28" i="7" s="1"/>
  <c r="O30" i="7"/>
  <c r="P30" i="7" s="1"/>
  <c r="M30" i="7"/>
  <c r="N30" i="7" s="1"/>
  <c r="O13" i="7"/>
  <c r="P13" i="7" s="1"/>
  <c r="M13" i="7"/>
  <c r="N13" i="7" s="1"/>
  <c r="O15" i="7"/>
  <c r="P15" i="7" s="1"/>
  <c r="M15" i="7"/>
  <c r="N15" i="7" s="1"/>
  <c r="O17" i="7"/>
  <c r="P17" i="7" s="1"/>
  <c r="M17" i="7"/>
  <c r="N17" i="7" s="1"/>
  <c r="O19" i="7"/>
  <c r="P19" i="7" s="1"/>
  <c r="M19" i="7"/>
  <c r="N19" i="7" s="1"/>
  <c r="O21" i="7"/>
  <c r="P21" i="7" s="1"/>
  <c r="M21" i="7"/>
  <c r="N21" i="7" s="1"/>
  <c r="O23" i="7"/>
  <c r="P23" i="7" s="1"/>
  <c r="M23" i="7"/>
  <c r="N23" i="7" s="1"/>
  <c r="O25" i="7"/>
  <c r="P25" i="7" s="1"/>
  <c r="M25" i="7"/>
  <c r="N25" i="7" s="1"/>
  <c r="O27" i="7"/>
  <c r="P27" i="7" s="1"/>
  <c r="M27" i="7"/>
  <c r="N27" i="7" s="1"/>
  <c r="O29" i="7"/>
  <c r="P29" i="7" s="1"/>
  <c r="M29" i="7"/>
  <c r="N29" i="7" s="1"/>
  <c r="N18" i="7"/>
  <c r="G11" i="7"/>
  <c r="H11" i="7" s="1"/>
  <c r="L11" i="7"/>
  <c r="D29" i="5"/>
  <c r="H11" i="6"/>
  <c r="I11" i="6" s="1"/>
  <c r="Q11" i="6"/>
  <c r="H13" i="6"/>
  <c r="I13" i="6" s="1"/>
  <c r="J13" i="6" s="1"/>
  <c r="Q13" i="6"/>
  <c r="H15" i="6"/>
  <c r="I15" i="6" s="1"/>
  <c r="J15" i="6" s="1"/>
  <c r="Q15" i="6"/>
  <c r="H17" i="6"/>
  <c r="I17" i="6" s="1"/>
  <c r="Q17" i="6"/>
  <c r="H19" i="6"/>
  <c r="I19" i="6" s="1"/>
  <c r="Q19" i="6"/>
  <c r="H21" i="6"/>
  <c r="I21" i="6" s="1"/>
  <c r="J21" i="6" s="1"/>
  <c r="Q21" i="6"/>
  <c r="H23" i="6"/>
  <c r="I23" i="6" s="1"/>
  <c r="J23" i="6" s="1"/>
  <c r="Q23" i="6"/>
  <c r="H25" i="6"/>
  <c r="I25" i="6" s="1"/>
  <c r="Q25" i="6"/>
  <c r="H27" i="6"/>
  <c r="I27" i="6" s="1"/>
  <c r="Q27" i="6"/>
  <c r="H29" i="6"/>
  <c r="I29" i="6" s="1"/>
  <c r="J29" i="6" s="1"/>
  <c r="Q29" i="6"/>
  <c r="J11" i="6"/>
  <c r="H12" i="6"/>
  <c r="I12" i="6" s="1"/>
  <c r="Q12" i="6"/>
  <c r="H14" i="6"/>
  <c r="I14" i="6" s="1"/>
  <c r="Q14" i="6"/>
  <c r="H16" i="6"/>
  <c r="I16" i="6" s="1"/>
  <c r="Q16" i="6"/>
  <c r="J17" i="6"/>
  <c r="H18" i="6"/>
  <c r="I18" i="6" s="1"/>
  <c r="Q18" i="6"/>
  <c r="J19" i="6"/>
  <c r="H20" i="6"/>
  <c r="I20" i="6" s="1"/>
  <c r="Q20" i="6"/>
  <c r="H22" i="6"/>
  <c r="I22" i="6" s="1"/>
  <c r="Q22" i="6"/>
  <c r="H24" i="6"/>
  <c r="I24" i="6" s="1"/>
  <c r="Q24" i="6"/>
  <c r="J25" i="6"/>
  <c r="H26" i="6"/>
  <c r="I26" i="6" s="1"/>
  <c r="Q26" i="6"/>
  <c r="J27" i="6"/>
  <c r="H28" i="6"/>
  <c r="I28" i="6" s="1"/>
  <c r="Q28" i="6"/>
  <c r="H10" i="6"/>
  <c r="I10" i="6" s="1"/>
  <c r="Q10" i="6"/>
  <c r="Q30" i="6" s="1"/>
  <c r="D29" i="4"/>
  <c r="H29" i="4" s="1"/>
  <c r="G10" i="3"/>
  <c r="G12" i="3"/>
  <c r="H12" i="3" s="1"/>
  <c r="G14" i="3"/>
  <c r="H14" i="3" s="1"/>
  <c r="G16" i="3"/>
  <c r="H16" i="3" s="1"/>
  <c r="G18" i="3"/>
  <c r="H18" i="3" s="1"/>
  <c r="G20" i="3"/>
  <c r="H20" i="3" s="1"/>
  <c r="G22" i="3"/>
  <c r="H22" i="3" s="1"/>
  <c r="G24" i="3"/>
  <c r="H24" i="3" s="1"/>
  <c r="G26" i="3"/>
  <c r="H26" i="3" s="1"/>
  <c r="G28" i="3"/>
  <c r="H28" i="3" s="1"/>
  <c r="G11" i="3"/>
  <c r="H11" i="3" s="1"/>
  <c r="G13" i="3"/>
  <c r="H13" i="3" s="1"/>
  <c r="G15" i="3"/>
  <c r="H15" i="3" s="1"/>
  <c r="G17" i="3"/>
  <c r="H17" i="3" s="1"/>
  <c r="G19" i="3"/>
  <c r="H19" i="3" s="1"/>
  <c r="G21" i="3"/>
  <c r="H21" i="3" s="1"/>
  <c r="G23" i="3"/>
  <c r="H23" i="3" s="1"/>
  <c r="G25" i="3"/>
  <c r="H25" i="3" s="1"/>
  <c r="G27" i="3"/>
  <c r="H27" i="3" s="1"/>
  <c r="G29" i="3"/>
  <c r="H29" i="3" s="1"/>
  <c r="I29" i="1" l="1"/>
  <c r="H31" i="7"/>
  <c r="I11" i="7"/>
  <c r="O11" i="7"/>
  <c r="M11" i="7"/>
  <c r="M31" i="7" s="1"/>
  <c r="L31" i="7"/>
  <c r="I30" i="6"/>
  <c r="J30" i="6" s="1"/>
  <c r="J28" i="6"/>
  <c r="J26" i="6"/>
  <c r="J24" i="6"/>
  <c r="J22" i="6"/>
  <c r="J20" i="6"/>
  <c r="J18" i="6"/>
  <c r="J16" i="6"/>
  <c r="J14" i="6"/>
  <c r="J12" i="6"/>
  <c r="J10" i="6"/>
  <c r="G30" i="3"/>
  <c r="H10" i="3"/>
  <c r="O31" i="7" l="1"/>
  <c r="P11" i="7"/>
  <c r="I31" i="7"/>
  <c r="N31" i="7" s="1"/>
  <c r="N11" i="7"/>
  <c r="H30" i="3"/>
  <c r="I10" i="3"/>
  <c r="P31" i="7" l="1"/>
  <c r="Q11" i="7" s="1"/>
  <c r="J10" i="3"/>
  <c r="I23" i="3"/>
  <c r="J23" i="3" s="1"/>
  <c r="K23" i="3" s="1"/>
  <c r="L23" i="3" s="1"/>
  <c r="I15" i="3"/>
  <c r="J15" i="3" s="1"/>
  <c r="K15" i="3" s="1"/>
  <c r="L15" i="3" s="1"/>
  <c r="I26" i="3"/>
  <c r="J26" i="3" s="1"/>
  <c r="K26" i="3" s="1"/>
  <c r="L26" i="3" s="1"/>
  <c r="I18" i="3"/>
  <c r="J18" i="3" s="1"/>
  <c r="K18" i="3" s="1"/>
  <c r="L18" i="3" s="1"/>
  <c r="I29" i="3"/>
  <c r="J29" i="3" s="1"/>
  <c r="K29" i="3" s="1"/>
  <c r="L29" i="3" s="1"/>
  <c r="I21" i="3"/>
  <c r="J21" i="3" s="1"/>
  <c r="K21" i="3" s="1"/>
  <c r="L21" i="3" s="1"/>
  <c r="I13" i="3"/>
  <c r="J13" i="3" s="1"/>
  <c r="K13" i="3" s="1"/>
  <c r="L13" i="3" s="1"/>
  <c r="I24" i="3"/>
  <c r="J24" i="3" s="1"/>
  <c r="K24" i="3" s="1"/>
  <c r="L24" i="3" s="1"/>
  <c r="I16" i="3"/>
  <c r="J16" i="3" s="1"/>
  <c r="K16" i="3" s="1"/>
  <c r="L16" i="3" s="1"/>
  <c r="I27" i="3"/>
  <c r="J27" i="3" s="1"/>
  <c r="K27" i="3" s="1"/>
  <c r="L27" i="3" s="1"/>
  <c r="I19" i="3"/>
  <c r="J19" i="3" s="1"/>
  <c r="K19" i="3" s="1"/>
  <c r="L19" i="3" s="1"/>
  <c r="I11" i="3"/>
  <c r="J11" i="3" s="1"/>
  <c r="K11" i="3" s="1"/>
  <c r="L11" i="3" s="1"/>
  <c r="I22" i="3"/>
  <c r="J22" i="3" s="1"/>
  <c r="K22" i="3" s="1"/>
  <c r="L22" i="3" s="1"/>
  <c r="I14" i="3"/>
  <c r="J14" i="3" s="1"/>
  <c r="K14" i="3" s="1"/>
  <c r="L14" i="3" s="1"/>
  <c r="I25" i="3"/>
  <c r="J25" i="3" s="1"/>
  <c r="K25" i="3" s="1"/>
  <c r="L25" i="3" s="1"/>
  <c r="I17" i="3"/>
  <c r="J17" i="3" s="1"/>
  <c r="K17" i="3" s="1"/>
  <c r="L17" i="3" s="1"/>
  <c r="I28" i="3"/>
  <c r="J28" i="3" s="1"/>
  <c r="K28" i="3" s="1"/>
  <c r="L28" i="3" s="1"/>
  <c r="I20" i="3"/>
  <c r="J20" i="3" s="1"/>
  <c r="K20" i="3" s="1"/>
  <c r="L20" i="3" s="1"/>
  <c r="I12" i="3"/>
  <c r="J12" i="3" s="1"/>
  <c r="K12" i="3" s="1"/>
  <c r="L12" i="3" s="1"/>
  <c r="N14" i="3" l="1"/>
  <c r="P13" i="1"/>
  <c r="N27" i="3"/>
  <c r="P26" i="1"/>
  <c r="N21" i="3"/>
  <c r="P20" i="1"/>
  <c r="N15" i="3"/>
  <c r="P14" i="1"/>
  <c r="N28" i="3"/>
  <c r="P27" i="1"/>
  <c r="N22" i="3"/>
  <c r="P21" i="1"/>
  <c r="N16" i="3"/>
  <c r="P15" i="1"/>
  <c r="N29" i="3"/>
  <c r="P28" i="1"/>
  <c r="N23" i="3"/>
  <c r="P22" i="1"/>
  <c r="N20" i="3"/>
  <c r="P19" i="1"/>
  <c r="N17" i="3"/>
  <c r="P16" i="1"/>
  <c r="N11" i="3"/>
  <c r="P10" i="1"/>
  <c r="N24" i="3"/>
  <c r="P23" i="1"/>
  <c r="N18" i="3"/>
  <c r="P17" i="1"/>
  <c r="N12" i="3"/>
  <c r="P11" i="1"/>
  <c r="N25" i="3"/>
  <c r="P24" i="1"/>
  <c r="N19" i="3"/>
  <c r="P18" i="1"/>
  <c r="N13" i="3"/>
  <c r="P12" i="1"/>
  <c r="N26" i="3"/>
  <c r="P25" i="1"/>
  <c r="R11" i="7"/>
  <c r="Q28" i="7"/>
  <c r="R28" i="7" s="1"/>
  <c r="S28" i="7" s="1"/>
  <c r="T28" i="7" s="1"/>
  <c r="C26" i="1" s="1"/>
  <c r="Q24" i="7"/>
  <c r="R24" i="7" s="1"/>
  <c r="S24" i="7" s="1"/>
  <c r="T24" i="7" s="1"/>
  <c r="C22" i="1" s="1"/>
  <c r="Q20" i="7"/>
  <c r="R20" i="7" s="1"/>
  <c r="S20" i="7" s="1"/>
  <c r="T20" i="7" s="1"/>
  <c r="C18" i="1" s="1"/>
  <c r="Q16" i="7"/>
  <c r="R16" i="7" s="1"/>
  <c r="S16" i="7" s="1"/>
  <c r="T16" i="7" s="1"/>
  <c r="C14" i="1" s="1"/>
  <c r="Q12" i="7"/>
  <c r="R12" i="7" s="1"/>
  <c r="S12" i="7" s="1"/>
  <c r="T12" i="7" s="1"/>
  <c r="C10" i="1" s="1"/>
  <c r="Q29" i="7"/>
  <c r="R29" i="7" s="1"/>
  <c r="S29" i="7" s="1"/>
  <c r="T29" i="7" s="1"/>
  <c r="C27" i="1" s="1"/>
  <c r="Q25" i="7"/>
  <c r="R25" i="7" s="1"/>
  <c r="S25" i="7" s="1"/>
  <c r="T25" i="7" s="1"/>
  <c r="C23" i="1" s="1"/>
  <c r="Q21" i="7"/>
  <c r="R21" i="7" s="1"/>
  <c r="S21" i="7" s="1"/>
  <c r="T21" i="7" s="1"/>
  <c r="C19" i="1" s="1"/>
  <c r="Q17" i="7"/>
  <c r="R17" i="7" s="1"/>
  <c r="S17" i="7" s="1"/>
  <c r="T17" i="7" s="1"/>
  <c r="C15" i="1" s="1"/>
  <c r="Q13" i="7"/>
  <c r="R13" i="7" s="1"/>
  <c r="S13" i="7" s="1"/>
  <c r="T13" i="7" s="1"/>
  <c r="C11" i="1" s="1"/>
  <c r="Q30" i="7"/>
  <c r="R30" i="7" s="1"/>
  <c r="S30" i="7" s="1"/>
  <c r="T30" i="7" s="1"/>
  <c r="C28" i="1" s="1"/>
  <c r="Q26" i="7"/>
  <c r="R26" i="7" s="1"/>
  <c r="S26" i="7" s="1"/>
  <c r="T26" i="7" s="1"/>
  <c r="C24" i="1" s="1"/>
  <c r="Q22" i="7"/>
  <c r="R22" i="7" s="1"/>
  <c r="S22" i="7" s="1"/>
  <c r="T22" i="7" s="1"/>
  <c r="C20" i="1" s="1"/>
  <c r="Q18" i="7"/>
  <c r="R18" i="7" s="1"/>
  <c r="S18" i="7" s="1"/>
  <c r="T18" i="7" s="1"/>
  <c r="C16" i="1" s="1"/>
  <c r="Q14" i="7"/>
  <c r="R14" i="7" s="1"/>
  <c r="S14" i="7" s="1"/>
  <c r="T14" i="7" s="1"/>
  <c r="C12" i="1" s="1"/>
  <c r="Q27" i="7"/>
  <c r="R27" i="7" s="1"/>
  <c r="S27" i="7" s="1"/>
  <c r="T27" i="7" s="1"/>
  <c r="C25" i="1" s="1"/>
  <c r="Q23" i="7"/>
  <c r="R23" i="7" s="1"/>
  <c r="S23" i="7" s="1"/>
  <c r="T23" i="7" s="1"/>
  <c r="C21" i="1" s="1"/>
  <c r="Q19" i="7"/>
  <c r="R19" i="7" s="1"/>
  <c r="S19" i="7" s="1"/>
  <c r="T19" i="7" s="1"/>
  <c r="C17" i="1" s="1"/>
  <c r="Q15" i="7"/>
  <c r="R15" i="7" s="1"/>
  <c r="S15" i="7" s="1"/>
  <c r="T15" i="7" s="1"/>
  <c r="C13" i="1" s="1"/>
  <c r="J30" i="3"/>
  <c r="K10" i="3"/>
  <c r="I30" i="3"/>
  <c r="Q31" i="7" l="1"/>
  <c r="S11" i="7"/>
  <c r="R31" i="7"/>
  <c r="K30" i="3"/>
  <c r="L10" i="3"/>
  <c r="P9" i="1" s="1"/>
  <c r="S31" i="7" l="1"/>
  <c r="T11" i="7"/>
  <c r="L30" i="3"/>
  <c r="N30" i="3" s="1"/>
  <c r="N10" i="3"/>
  <c r="T31" i="7" l="1"/>
  <c r="C29" i="1"/>
  <c r="D29" i="6" l="1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30" i="6" l="1"/>
  <c r="J29" i="5" l="1"/>
  <c r="E28" i="5" l="1"/>
  <c r="F28" i="5" s="1"/>
  <c r="H28" i="5" s="1"/>
  <c r="E27" i="5"/>
  <c r="F27" i="5" s="1"/>
  <c r="H27" i="5" s="1"/>
  <c r="E26" i="5"/>
  <c r="F26" i="5" s="1"/>
  <c r="H26" i="5" s="1"/>
  <c r="E25" i="5"/>
  <c r="F25" i="5" s="1"/>
  <c r="H25" i="5" s="1"/>
  <c r="E24" i="5"/>
  <c r="F24" i="5" s="1"/>
  <c r="H24" i="5" s="1"/>
  <c r="E23" i="5"/>
  <c r="F23" i="5" s="1"/>
  <c r="H23" i="5" s="1"/>
  <c r="E22" i="5"/>
  <c r="F22" i="5" s="1"/>
  <c r="H22" i="5" s="1"/>
  <c r="E21" i="5"/>
  <c r="F21" i="5" s="1"/>
  <c r="H21" i="5" s="1"/>
  <c r="E20" i="5"/>
  <c r="F20" i="5" s="1"/>
  <c r="H20" i="5" s="1"/>
  <c r="E19" i="5"/>
  <c r="F19" i="5" s="1"/>
  <c r="H19" i="5" s="1"/>
  <c r="E18" i="5"/>
  <c r="F18" i="5" s="1"/>
  <c r="H18" i="5" s="1"/>
  <c r="E17" i="5"/>
  <c r="F17" i="5" s="1"/>
  <c r="H17" i="5" s="1"/>
  <c r="E16" i="5"/>
  <c r="F16" i="5" s="1"/>
  <c r="H16" i="5" s="1"/>
  <c r="E15" i="5"/>
  <c r="F15" i="5" s="1"/>
  <c r="H15" i="5" s="1"/>
  <c r="E14" i="5"/>
  <c r="F14" i="5" s="1"/>
  <c r="H14" i="5" s="1"/>
  <c r="E13" i="5"/>
  <c r="F13" i="5" s="1"/>
  <c r="H13" i="5" s="1"/>
  <c r="E12" i="5"/>
  <c r="F12" i="5" s="1"/>
  <c r="H12" i="5" s="1"/>
  <c r="E11" i="5"/>
  <c r="F11" i="5" s="1"/>
  <c r="H11" i="5" s="1"/>
  <c r="E10" i="5"/>
  <c r="F10" i="5" s="1"/>
  <c r="H10" i="5" s="1"/>
  <c r="E9" i="5"/>
  <c r="F9" i="5" s="1"/>
  <c r="F29" i="5" l="1"/>
  <c r="H9" i="5"/>
  <c r="L26" i="6"/>
  <c r="M26" i="6" s="1"/>
  <c r="N26" i="6" s="1"/>
  <c r="M25" i="1" s="1"/>
  <c r="L22" i="6"/>
  <c r="M22" i="6" s="1"/>
  <c r="N22" i="6" s="1"/>
  <c r="M21" i="1" s="1"/>
  <c r="L18" i="6"/>
  <c r="M18" i="6" s="1"/>
  <c r="N18" i="6" s="1"/>
  <c r="M17" i="1" s="1"/>
  <c r="L14" i="6"/>
  <c r="M14" i="6" s="1"/>
  <c r="N14" i="6" s="1"/>
  <c r="M13" i="1" s="1"/>
  <c r="L29" i="6"/>
  <c r="M29" i="6" s="1"/>
  <c r="N29" i="6" s="1"/>
  <c r="M28" i="1" s="1"/>
  <c r="L25" i="6"/>
  <c r="M25" i="6" s="1"/>
  <c r="N25" i="6" s="1"/>
  <c r="M24" i="1" s="1"/>
  <c r="L21" i="6"/>
  <c r="M21" i="6" s="1"/>
  <c r="N21" i="6" s="1"/>
  <c r="M20" i="1" s="1"/>
  <c r="L17" i="6"/>
  <c r="M17" i="6" s="1"/>
  <c r="N17" i="6" s="1"/>
  <c r="M16" i="1" s="1"/>
  <c r="L13" i="6"/>
  <c r="M13" i="6" s="1"/>
  <c r="N13" i="6" s="1"/>
  <c r="M12" i="1" s="1"/>
  <c r="L10" i="6"/>
  <c r="L28" i="6"/>
  <c r="M28" i="6" s="1"/>
  <c r="N28" i="6" s="1"/>
  <c r="M27" i="1" s="1"/>
  <c r="L24" i="6"/>
  <c r="M24" i="6" s="1"/>
  <c r="N24" i="6" s="1"/>
  <c r="M23" i="1" s="1"/>
  <c r="L20" i="6"/>
  <c r="M20" i="6" s="1"/>
  <c r="N20" i="6" s="1"/>
  <c r="M19" i="1" s="1"/>
  <c r="L16" i="6"/>
  <c r="M16" i="6" s="1"/>
  <c r="N16" i="6" s="1"/>
  <c r="M15" i="1" s="1"/>
  <c r="L12" i="6"/>
  <c r="M12" i="6" s="1"/>
  <c r="N12" i="6" s="1"/>
  <c r="M11" i="1" s="1"/>
  <c r="L27" i="6"/>
  <c r="M27" i="6" s="1"/>
  <c r="N27" i="6" s="1"/>
  <c r="M26" i="1" s="1"/>
  <c r="L23" i="6"/>
  <c r="M23" i="6" s="1"/>
  <c r="N23" i="6" s="1"/>
  <c r="M22" i="1" s="1"/>
  <c r="L19" i="6"/>
  <c r="M19" i="6" s="1"/>
  <c r="N19" i="6" s="1"/>
  <c r="M18" i="1" s="1"/>
  <c r="L15" i="6"/>
  <c r="M15" i="6" s="1"/>
  <c r="N15" i="6" s="1"/>
  <c r="M14" i="1" s="1"/>
  <c r="L11" i="6"/>
  <c r="M11" i="6" s="1"/>
  <c r="N11" i="6" s="1"/>
  <c r="M10" i="1" s="1"/>
  <c r="H29" i="5" l="1"/>
  <c r="I9" i="5" s="1"/>
  <c r="J9" i="5" s="1"/>
  <c r="K9" i="5" s="1"/>
  <c r="M10" i="6"/>
  <c r="N10" i="6" s="1"/>
  <c r="M9" i="1" s="1"/>
  <c r="L30" i="6"/>
  <c r="M30" i="6" s="1"/>
  <c r="N30" i="6" s="1"/>
  <c r="K9" i="1" l="1"/>
  <c r="I29" i="5"/>
  <c r="I12" i="5"/>
  <c r="J12" i="5" s="1"/>
  <c r="K12" i="5" s="1"/>
  <c r="K12" i="1" s="1"/>
  <c r="I16" i="5"/>
  <c r="J16" i="5" s="1"/>
  <c r="K16" i="5" s="1"/>
  <c r="K16" i="1" s="1"/>
  <c r="I20" i="5"/>
  <c r="J20" i="5" s="1"/>
  <c r="K20" i="5" s="1"/>
  <c r="K20" i="1" s="1"/>
  <c r="I13" i="5"/>
  <c r="J13" i="5" s="1"/>
  <c r="K13" i="5" s="1"/>
  <c r="K13" i="1" s="1"/>
  <c r="I17" i="5"/>
  <c r="J17" i="5" s="1"/>
  <c r="K17" i="5" s="1"/>
  <c r="K17" i="1" s="1"/>
  <c r="I21" i="5"/>
  <c r="J21" i="5" s="1"/>
  <c r="K21" i="5" s="1"/>
  <c r="K21" i="1" s="1"/>
  <c r="I23" i="5"/>
  <c r="J23" i="5" s="1"/>
  <c r="K23" i="5" s="1"/>
  <c r="K23" i="1" s="1"/>
  <c r="I25" i="5"/>
  <c r="J25" i="5" s="1"/>
  <c r="K25" i="5" s="1"/>
  <c r="K25" i="1" s="1"/>
  <c r="I27" i="5"/>
  <c r="J27" i="5" s="1"/>
  <c r="K27" i="5" s="1"/>
  <c r="K27" i="1" s="1"/>
  <c r="I10" i="5"/>
  <c r="J10" i="5" s="1"/>
  <c r="K10" i="5" s="1"/>
  <c r="K10" i="1" s="1"/>
  <c r="I14" i="5"/>
  <c r="J14" i="5" s="1"/>
  <c r="K14" i="5" s="1"/>
  <c r="K14" i="1" s="1"/>
  <c r="I18" i="5"/>
  <c r="J18" i="5" s="1"/>
  <c r="K18" i="5" s="1"/>
  <c r="K18" i="1" s="1"/>
  <c r="I11" i="5"/>
  <c r="J11" i="5" s="1"/>
  <c r="K11" i="5" s="1"/>
  <c r="K11" i="1" s="1"/>
  <c r="I15" i="5"/>
  <c r="J15" i="5" s="1"/>
  <c r="K15" i="5" s="1"/>
  <c r="K15" i="1" s="1"/>
  <c r="I19" i="5"/>
  <c r="J19" i="5" s="1"/>
  <c r="K19" i="5" s="1"/>
  <c r="K19" i="1" s="1"/>
  <c r="I22" i="5"/>
  <c r="J22" i="5" s="1"/>
  <c r="K22" i="5" s="1"/>
  <c r="K22" i="1" s="1"/>
  <c r="I24" i="5"/>
  <c r="J24" i="5" s="1"/>
  <c r="K24" i="5" s="1"/>
  <c r="K24" i="1" s="1"/>
  <c r="I26" i="5"/>
  <c r="J26" i="5" s="1"/>
  <c r="K26" i="5" s="1"/>
  <c r="K26" i="1" s="1"/>
  <c r="I28" i="5"/>
  <c r="J28" i="5" s="1"/>
  <c r="K28" i="5" s="1"/>
  <c r="K28" i="1" s="1"/>
  <c r="K29" i="1" l="1"/>
  <c r="K29" i="5"/>
  <c r="O28" i="1" l="1"/>
  <c r="N28" i="1"/>
  <c r="L28" i="1"/>
  <c r="J28" i="1"/>
  <c r="H28" i="1"/>
  <c r="F28" i="1"/>
  <c r="B28" i="1"/>
  <c r="O27" i="1"/>
  <c r="N27" i="1"/>
  <c r="L27" i="1"/>
  <c r="J27" i="1"/>
  <c r="H27" i="1"/>
  <c r="F27" i="1"/>
  <c r="O26" i="1"/>
  <c r="N26" i="1"/>
  <c r="L26" i="1"/>
  <c r="J26" i="1"/>
  <c r="H26" i="1"/>
  <c r="F26" i="1"/>
  <c r="O25" i="1"/>
  <c r="N25" i="1"/>
  <c r="L25" i="1"/>
  <c r="J25" i="1"/>
  <c r="H25" i="1"/>
  <c r="F25" i="1"/>
  <c r="O24" i="1"/>
  <c r="N24" i="1"/>
  <c r="L24" i="1"/>
  <c r="J24" i="1"/>
  <c r="H24" i="1"/>
  <c r="F24" i="1"/>
  <c r="O23" i="1"/>
  <c r="N23" i="1"/>
  <c r="L23" i="1"/>
  <c r="J23" i="1"/>
  <c r="H23" i="1"/>
  <c r="F23" i="1"/>
  <c r="O22" i="1"/>
  <c r="N22" i="1"/>
  <c r="L22" i="1"/>
  <c r="J22" i="1"/>
  <c r="H22" i="1"/>
  <c r="F22" i="1"/>
  <c r="O21" i="1"/>
  <c r="N21" i="1"/>
  <c r="L21" i="1"/>
  <c r="J21" i="1"/>
  <c r="H21" i="1"/>
  <c r="F21" i="1"/>
  <c r="O20" i="1"/>
  <c r="N20" i="1"/>
  <c r="L20" i="1"/>
  <c r="J20" i="1"/>
  <c r="H20" i="1"/>
  <c r="F20" i="1"/>
  <c r="O19" i="1"/>
  <c r="N19" i="1"/>
  <c r="L19" i="1"/>
  <c r="J19" i="1"/>
  <c r="H19" i="1"/>
  <c r="F19" i="1"/>
  <c r="O18" i="1"/>
  <c r="N18" i="1"/>
  <c r="L18" i="1"/>
  <c r="J18" i="1"/>
  <c r="H18" i="1"/>
  <c r="F18" i="1"/>
  <c r="O17" i="1"/>
  <c r="N17" i="1"/>
  <c r="L17" i="1"/>
  <c r="J17" i="1"/>
  <c r="H17" i="1"/>
  <c r="F17" i="1"/>
  <c r="R17" i="1"/>
  <c r="O16" i="1"/>
  <c r="N16" i="1"/>
  <c r="R16" i="1" s="1"/>
  <c r="L16" i="1"/>
  <c r="J16" i="1"/>
  <c r="H16" i="1"/>
  <c r="F16" i="1"/>
  <c r="O15" i="1"/>
  <c r="N15" i="1"/>
  <c r="L15" i="1"/>
  <c r="J15" i="1"/>
  <c r="H15" i="1"/>
  <c r="F15" i="1"/>
  <c r="R15" i="1"/>
  <c r="O14" i="1"/>
  <c r="N14" i="1"/>
  <c r="R14" i="1" s="1"/>
  <c r="L14" i="1"/>
  <c r="J14" i="1"/>
  <c r="H14" i="1"/>
  <c r="F14" i="1"/>
  <c r="O13" i="1"/>
  <c r="N13" i="1"/>
  <c r="L13" i="1"/>
  <c r="J13" i="1"/>
  <c r="H13" i="1"/>
  <c r="F13" i="1"/>
  <c r="R13" i="1"/>
  <c r="O12" i="1"/>
  <c r="N12" i="1"/>
  <c r="R12" i="1" s="1"/>
  <c r="L12" i="1"/>
  <c r="J12" i="1"/>
  <c r="H12" i="1"/>
  <c r="F12" i="1"/>
  <c r="O11" i="1"/>
  <c r="N11" i="1"/>
  <c r="L11" i="1"/>
  <c r="J11" i="1"/>
  <c r="H11" i="1"/>
  <c r="F11" i="1"/>
  <c r="R11" i="1"/>
  <c r="O10" i="1"/>
  <c r="N10" i="1"/>
  <c r="R10" i="1" s="1"/>
  <c r="L10" i="1"/>
  <c r="J10" i="1"/>
  <c r="H10" i="1"/>
  <c r="F10" i="1"/>
  <c r="P29" i="1"/>
  <c r="O9" i="1"/>
  <c r="N9" i="1"/>
  <c r="N29" i="1" s="1"/>
  <c r="M29" i="1"/>
  <c r="L9" i="1"/>
  <c r="L29" i="1" s="1"/>
  <c r="J9" i="1"/>
  <c r="H9" i="1"/>
  <c r="H29" i="1" s="1"/>
  <c r="F9" i="1"/>
  <c r="E29" i="1"/>
  <c r="F29" i="1" l="1"/>
  <c r="J29" i="1"/>
  <c r="O29" i="1"/>
  <c r="R18" i="1"/>
  <c r="R19" i="1"/>
  <c r="R20" i="1"/>
  <c r="R21" i="1"/>
  <c r="R22" i="1"/>
  <c r="R23" i="1"/>
  <c r="R24" i="1"/>
  <c r="R25" i="1"/>
  <c r="R26" i="1"/>
  <c r="R27" i="1"/>
  <c r="R28" i="1"/>
  <c r="R9" i="1"/>
  <c r="R29" i="1" l="1"/>
  <c r="Q9" i="1" s="1"/>
  <c r="Q13" i="1" l="1"/>
  <c r="Q10" i="1"/>
  <c r="Q14" i="1"/>
  <c r="Q17" i="1"/>
  <c r="Q19" i="1"/>
  <c r="Q21" i="1"/>
  <c r="Q23" i="1"/>
  <c r="Q25" i="1"/>
  <c r="Q27" i="1"/>
  <c r="Q11" i="1"/>
  <c r="Q15" i="1"/>
  <c r="Q12" i="1"/>
  <c r="Q16" i="1"/>
  <c r="Q18" i="1"/>
  <c r="Q20" i="1"/>
  <c r="Q22" i="1"/>
  <c r="Q24" i="1"/>
  <c r="Q26" i="1"/>
  <c r="Q28" i="1"/>
  <c r="Q29" i="1" l="1"/>
</calcChain>
</file>

<file path=xl/sharedStrings.xml><?xml version="1.0" encoding="utf-8"?>
<sst xmlns="http://schemas.openxmlformats.org/spreadsheetml/2006/main" count="716" uniqueCount="265">
  <si>
    <t>GOBIERNO DEL ESTADO DE NAYARIT</t>
  </si>
  <si>
    <t>SECRETARIA DE ADMINISTRACION Y FINANZAS</t>
  </si>
  <si>
    <t>DIRECCION GENERAL DE PARTICIPACIONES FEDERALES</t>
  </si>
  <si>
    <t>PORCENTAJES Y MONTOS ESTIMADOS DE PARTICIPACIONES FEDERALES CORRESPONDIENTE A LOS MUNICIPIOS PARA EL EJERCICIO FISCAL 2015.</t>
  </si>
  <si>
    <t>MUNICIPIO</t>
  </si>
  <si>
    <t>FONDO GENERAL DE PARTICIPACIONES</t>
  </si>
  <si>
    <t>FONDO DE FOMENTO MUNICIPAL</t>
  </si>
  <si>
    <t>IMPUESTO ESPECIAL SOBRE PRODUCCION Y SERVICIOS</t>
  </si>
  <si>
    <t xml:space="preserve"> POR VENTA   GASOLINA Y DIESEL</t>
  </si>
  <si>
    <t>FONDO DE FISCALIZACION</t>
  </si>
  <si>
    <t>FONDO DE COMPENSACION</t>
  </si>
  <si>
    <t>TOTAL DE PARTICIPACIONES</t>
  </si>
  <si>
    <t>FACTOR DE DISTRIBUCION</t>
  </si>
  <si>
    <t>FACTOR DE DISTRIBUCION 2014</t>
  </si>
  <si>
    <t>PORCENTAJE</t>
  </si>
  <si>
    <t>ACAPONETA</t>
  </si>
  <si>
    <t>AHUACATLÁN</t>
  </si>
  <si>
    <t>AMATLÁN DE CAÑAS</t>
  </si>
  <si>
    <t>BAHÍA DE BANDERAS</t>
  </si>
  <si>
    <t>COMPOSTELA</t>
  </si>
  <si>
    <t>EL NAYAR</t>
  </si>
  <si>
    <t>HUAJICORI</t>
  </si>
  <si>
    <t>IXTLÁN DEL RÍO</t>
  </si>
  <si>
    <t>JALA</t>
  </si>
  <si>
    <t>LA YESCA</t>
  </si>
  <si>
    <t>ROSAMORADA</t>
  </si>
  <si>
    <t>RUIZ</t>
  </si>
  <si>
    <t>SAN BLAS</t>
  </si>
  <si>
    <t>SAN PEDRO LAGUNILLAS</t>
  </si>
  <si>
    <t>SANTA MARÍA DEL ORO</t>
  </si>
  <si>
    <t>SANTIAGO IXCUINTLA</t>
  </si>
  <si>
    <t>TECUALA</t>
  </si>
  <si>
    <t>TEPIC</t>
  </si>
  <si>
    <t>TUXPAN</t>
  </si>
  <si>
    <t>XALISCO</t>
  </si>
  <si>
    <t>T  O  T  A  L</t>
  </si>
  <si>
    <t xml:space="preserve">Las cifras parciales pueden no coincidir con el total debido al redondeo </t>
  </si>
  <si>
    <t>NOTA:</t>
  </si>
  <si>
    <t>Municipios</t>
  </si>
  <si>
    <t>Factor de</t>
  </si>
  <si>
    <t xml:space="preserve">Estimado </t>
  </si>
  <si>
    <t>factor de distribucion 2015</t>
  </si>
  <si>
    <t xml:space="preserve">crecimiento del IEPS </t>
  </si>
  <si>
    <t>Distribuciòn</t>
  </si>
  <si>
    <t>Distribución</t>
  </si>
  <si>
    <t>en</t>
  </si>
  <si>
    <t>total de IEPS</t>
  </si>
  <si>
    <t>2014</t>
  </si>
  <si>
    <t xml:space="preserve">a </t>
  </si>
  <si>
    <t>(1)</t>
  </si>
  <si>
    <t>(2)</t>
  </si>
  <si>
    <t>Acaponeta</t>
  </si>
  <si>
    <t>Ahuacatlán</t>
  </si>
  <si>
    <t>Amatlán de Cañas</t>
  </si>
  <si>
    <t>Bahía de Banderas</t>
  </si>
  <si>
    <t>Compostela</t>
  </si>
  <si>
    <t>El Nayar</t>
  </si>
  <si>
    <t>Huajicori</t>
  </si>
  <si>
    <t>Ixtlán del Río</t>
  </si>
  <si>
    <t>Jala</t>
  </si>
  <si>
    <t>La Yesca</t>
  </si>
  <si>
    <t>Rosamorada</t>
  </si>
  <si>
    <t>Ruiz</t>
  </si>
  <si>
    <t>San Blas</t>
  </si>
  <si>
    <t>San Pedro Lagunillas</t>
  </si>
  <si>
    <t>Santa María del Oro</t>
  </si>
  <si>
    <t>Santiago Ixcuintla</t>
  </si>
  <si>
    <t>Tecuala</t>
  </si>
  <si>
    <t>Tepic</t>
  </si>
  <si>
    <t>Tuxpan</t>
  </si>
  <si>
    <t>Xalisco</t>
  </si>
  <si>
    <t>Totales</t>
  </si>
  <si>
    <t>Población: Censo Nacional de Población y Vivienda 2010 de INEGI</t>
  </si>
  <si>
    <t>Coeficiente 1</t>
  </si>
  <si>
    <t>Coeficiente 2</t>
  </si>
  <si>
    <t>Coeficiente 3</t>
  </si>
  <si>
    <t xml:space="preserve">Suma de </t>
  </si>
  <si>
    <t>Distribucion</t>
  </si>
  <si>
    <t>Población</t>
  </si>
  <si>
    <t>Efectivo</t>
  </si>
  <si>
    <t>Esfuerzo</t>
  </si>
  <si>
    <t>resarcitorio</t>
  </si>
  <si>
    <t>Coeficientes</t>
  </si>
  <si>
    <t>para el 2015</t>
  </si>
  <si>
    <t xml:space="preserve">Relativa </t>
  </si>
  <si>
    <t>recaudatorio</t>
  </si>
  <si>
    <t>efectivo</t>
  </si>
  <si>
    <t>2=(1*.60)</t>
  </si>
  <si>
    <t>4=(3*.30)</t>
  </si>
  <si>
    <t>5=(2+4)</t>
  </si>
  <si>
    <t>6=(1/5)</t>
  </si>
  <si>
    <r>
      <t>7=(</t>
    </r>
    <r>
      <rPr>
        <b/>
        <sz val="11"/>
        <color theme="1"/>
        <rFont val="Calibri"/>
        <family val="2"/>
      </rPr>
      <t>Σ</t>
    </r>
    <r>
      <rPr>
        <b/>
        <sz val="11"/>
        <color theme="1"/>
        <rFont val="Arial"/>
        <family val="2"/>
      </rPr>
      <t xml:space="preserve"> 6/6)</t>
    </r>
  </si>
  <si>
    <t>8=(7*.10)</t>
  </si>
  <si>
    <t>9=(2+4+6)</t>
  </si>
  <si>
    <t>10</t>
  </si>
  <si>
    <t>Distribuido</t>
  </si>
  <si>
    <t xml:space="preserve">Población </t>
  </si>
  <si>
    <t>Crecimiento</t>
  </si>
  <si>
    <t>Absoluta</t>
  </si>
  <si>
    <t>Relativa</t>
  </si>
  <si>
    <t>para 2015</t>
  </si>
  <si>
    <t>(3)</t>
  </si>
  <si>
    <t>(4)</t>
  </si>
  <si>
    <t>(5)</t>
  </si>
  <si>
    <t>(6)</t>
  </si>
  <si>
    <t>para el 2016</t>
  </si>
  <si>
    <t>a municipios</t>
  </si>
  <si>
    <t>Resultado</t>
  </si>
  <si>
    <t xml:space="preserve">Coeficiente de </t>
  </si>
  <si>
    <t xml:space="preserve">Crecimiento </t>
  </si>
  <si>
    <t>Esfuerzo Recaudatorio</t>
  </si>
  <si>
    <t xml:space="preserve">Variación por </t>
  </si>
  <si>
    <t xml:space="preserve">Participacion </t>
  </si>
  <si>
    <t xml:space="preserve">del FOFIR </t>
  </si>
  <si>
    <t>total de FOFIR</t>
  </si>
  <si>
    <t>Ultimo Ejercicio</t>
  </si>
  <si>
    <t>entre mpios.</t>
  </si>
  <si>
    <t>(6 = 4*5)</t>
  </si>
  <si>
    <t>(7=(6/∑6)100)</t>
  </si>
  <si>
    <t>(8)</t>
  </si>
  <si>
    <t>(9=2+8)</t>
  </si>
  <si>
    <t xml:space="preserve">Recaudaciòn Predial y Agua </t>
  </si>
  <si>
    <t>Componente del 70%</t>
  </si>
  <si>
    <t>Componente del 30%</t>
  </si>
  <si>
    <t>Coeficiente</t>
  </si>
  <si>
    <t xml:space="preserve">crecimiento </t>
  </si>
  <si>
    <t>Total</t>
  </si>
  <si>
    <t xml:space="preserve">Factor de </t>
  </si>
  <si>
    <t>Factor Inverso</t>
  </si>
  <si>
    <t>Porcentaje</t>
  </si>
  <si>
    <t xml:space="preserve">Coeficiente </t>
  </si>
  <si>
    <t>Efectivo de</t>
  </si>
  <si>
    <t>directo</t>
  </si>
  <si>
    <t>inverso</t>
  </si>
  <si>
    <t xml:space="preserve">efectivo </t>
  </si>
  <si>
    <t xml:space="preserve">de </t>
  </si>
  <si>
    <t>Efectivo por poblacion</t>
  </si>
  <si>
    <t>a la población</t>
  </si>
  <si>
    <t>Efectivo Inverso a</t>
  </si>
  <si>
    <t>Participacion</t>
  </si>
  <si>
    <t>poblacion</t>
  </si>
  <si>
    <t>de</t>
  </si>
  <si>
    <t>Foco</t>
  </si>
  <si>
    <t>Factor directo</t>
  </si>
  <si>
    <t>para 2015 (70%)</t>
  </si>
  <si>
    <t>Población (30%)</t>
  </si>
  <si>
    <t>70%</t>
  </si>
  <si>
    <t>30%</t>
  </si>
  <si>
    <t>participaciones</t>
  </si>
  <si>
    <t>a participar</t>
  </si>
  <si>
    <t>(4= 1*.70)</t>
  </si>
  <si>
    <t>(3 = Inv de 1)</t>
  </si>
  <si>
    <t>(4=4/∑4)100</t>
  </si>
  <si>
    <t>(5= 4*.30)</t>
  </si>
  <si>
    <t>(6= 2+5)</t>
  </si>
  <si>
    <t>$</t>
  </si>
  <si>
    <t xml:space="preserve">Cálculo del Coeficiente de Participación Fondo General de Participaciones </t>
  </si>
  <si>
    <t xml:space="preserve">Factor de Distribuciòn </t>
  </si>
  <si>
    <t>Primera parte del Coeficiente 60% (relativa a Poblaciòn)</t>
  </si>
  <si>
    <t>Segunda parte del fondo 30% (relativa a Recaudación)</t>
  </si>
  <si>
    <t>Suma de Asignaciones</t>
  </si>
  <si>
    <t>Tercera parte del fondo 10% (relativa a Resarcitoria)</t>
  </si>
  <si>
    <t xml:space="preserve">coeficiente </t>
  </si>
  <si>
    <t>Recaudacion Agua Potable y Predial</t>
  </si>
  <si>
    <t>Coeficiente de Participacion</t>
  </si>
  <si>
    <t>Distribucion del FGP</t>
  </si>
  <si>
    <t>Porcentaje que representa</t>
  </si>
  <si>
    <t>del FGP</t>
  </si>
  <si>
    <t>de Participaciòn</t>
  </si>
  <si>
    <t>Resarcitorio</t>
  </si>
  <si>
    <t>2013/2012</t>
  </si>
  <si>
    <t>resarcitoria</t>
  </si>
  <si>
    <t>Inverso en $</t>
  </si>
  <si>
    <t>(3=4/∑4)100</t>
  </si>
  <si>
    <t>(7 )</t>
  </si>
  <si>
    <t>(8=(7/∑7)100)</t>
  </si>
  <si>
    <t>(11)</t>
  </si>
  <si>
    <t>(13=(2+6+10+12))</t>
  </si>
  <si>
    <t>Fondo de Fomento Municipal</t>
  </si>
  <si>
    <t xml:space="preserve">FFM </t>
  </si>
  <si>
    <t>distribuido en</t>
  </si>
  <si>
    <t>2015</t>
  </si>
  <si>
    <t>CUADRO COMPARATIVO CON EL CAMBIO DE FORMULAS</t>
  </si>
  <si>
    <t>2014 (100%)</t>
  </si>
  <si>
    <t xml:space="preserve"> Censo Nacional de Población y Vivienda 2010 de INEGI</t>
  </si>
  <si>
    <t xml:space="preserve">poblacion </t>
  </si>
  <si>
    <t>PREDIAL</t>
  </si>
  <si>
    <t>AGUA</t>
  </si>
  <si>
    <t>TOTAL</t>
  </si>
  <si>
    <t xml:space="preserve">ACAPONETA </t>
  </si>
  <si>
    <t>AHUACATLAN</t>
  </si>
  <si>
    <t>AMATLAN DE CAÑAS</t>
  </si>
  <si>
    <t>DEL NAYAR</t>
  </si>
  <si>
    <t>IXTLAN DEL RIO</t>
  </si>
  <si>
    <t>SAN PEDRO LAG.</t>
  </si>
  <si>
    <t>STA. MARIA DEL ORO</t>
  </si>
  <si>
    <t>PERIODO</t>
  </si>
  <si>
    <t>IEPS POR GASOLINA Y DIESEL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</si>
  <si>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</si>
  <si>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</si>
  <si>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</si>
  <si>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</si>
  <si>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</si>
  <si>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</si>
  <si>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</si>
  <si>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</si>
  <si>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</si>
  <si>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</si>
  <si>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</si>
  <si>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</si>
  <si>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IMPORTE                $</t>
  </si>
  <si>
    <t>(9)</t>
  </si>
  <si>
    <t>(10)</t>
  </si>
  <si>
    <t>(12)</t>
  </si>
  <si>
    <t>Porcentajes y Cálculo de la distribución  del Fondo de Fomento Municipal a los Municipios</t>
  </si>
  <si>
    <t>Porcentaje, variables y cálculo del Coeficiente de Participación del IEPS para el ejercicio 2015.</t>
  </si>
  <si>
    <t>Porcentaje, variables y cálculo del Coeficiente de Participación por venta de Gasolina y Diesel</t>
  </si>
  <si>
    <t>Porcentaje, variables y cálculo de los porcentajes de participacion del Fondo de Compensación</t>
  </si>
  <si>
    <t>Porcentaje, variables y cálculo del Coeficiente de Participación del Impuesto Sobre Automóviles Nuevos y del Fondo de Compensación de ISAN</t>
  </si>
  <si>
    <t>Fecha límite de entrega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</si>
  <si>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</si>
  <si>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</si>
  <si>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</si>
  <si>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</si>
  <si>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</si>
  <si>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</si>
  <si>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</si>
  <si>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</si>
  <si>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</si>
  <si>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</si>
  <si>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</si>
  <si>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Enero 2016</t>
  </si>
  <si>
    <t>02</t>
  </si>
  <si>
    <t>04</t>
  </si>
  <si>
    <t>01</t>
  </si>
  <si>
    <t>05</t>
  </si>
  <si>
    <t>03</t>
  </si>
  <si>
    <t>06</t>
  </si>
  <si>
    <t>09</t>
  </si>
  <si>
    <t>08</t>
  </si>
  <si>
    <t>07</t>
  </si>
  <si>
    <t>23</t>
  </si>
  <si>
    <t>21</t>
  </si>
  <si>
    <t>17</t>
  </si>
  <si>
    <t>15</t>
  </si>
  <si>
    <t>14</t>
  </si>
  <si>
    <t>16</t>
  </si>
  <si>
    <t>18</t>
  </si>
  <si>
    <t>19</t>
  </si>
  <si>
    <t>FONDO DE FISCALIZACION Y RECAUDACION</t>
  </si>
  <si>
    <t>FONDO DE          COMPENSACION</t>
  </si>
  <si>
    <t>27</t>
  </si>
  <si>
    <t xml:space="preserve"> FONDO DE COMPENSACIÓN DE IMPUESTO SOBRE AUTOMÓVILES NUEVOS</t>
  </si>
  <si>
    <t>31</t>
  </si>
  <si>
    <t>IMPUESTO SOBRE TENENCIA O USO DE VEHÍCULOS</t>
  </si>
  <si>
    <t>CALENDARIO DE ENTREGA PARA EL EJERCICIO FISCAL 2015</t>
  </si>
  <si>
    <t xml:space="preserve"> TENENCIA FEDERAL*</t>
  </si>
  <si>
    <t>El cálculo de la participación estimada del Fondo de Fomento Municipal se determinó en base al artículo 15 del Decreto que determina a los factores de Distribución de las Participaciones y Aportaciones que en ingresos federales corresponden a los Municipios de la Entidad para el ejercicio 2015 publicado el 23  de diciembre de 2014.</t>
  </si>
  <si>
    <t>*Tenencia Federal de ejercicios anteriores a 2010 y el ISAN corresponden a Ingresos recaudados en la entidad.</t>
  </si>
  <si>
    <t xml:space="preserve"> ISAN* Y FONDO DE COMPENSACION DE ISAN</t>
  </si>
  <si>
    <t>El cálculo de la participación estimada del Fondo de Fomento Municipal se determinó en base al artículo 15 del Decreto que determina los factores de Distribución de las Participaciones y Aportaciones que en ingresos federales corresponden a los Municipios de la Entidad para el ejercicio 2015.</t>
  </si>
  <si>
    <t>Porcentaje, variables y cálculo del Coeficiente de Participación del Fondo de Fiscalizacion y Recaudación</t>
  </si>
  <si>
    <t>INFORMACIÓN UTILIZADA PARA LA DETERMINACIÓN DE LOS PORCENTAJES DE DISTRIBUCIÓN DE PARTICIPACIONES</t>
  </si>
  <si>
    <t>ANEXO I</t>
  </si>
  <si>
    <t>Recaudación Predial y  Agua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</si>
</sst>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0000"/>
    <numFmt numFmtId="165" formatCode="#,##0.00_ ;\-#,##0.00\ "/>
    <numFmt numFmtId="166" formatCode="#,##0_ ;\-#,##0\ "/>
    <numFmt numFmtId="167" formatCode="0.00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sz val="11"/>
      <color theme="3"/>
      <name val="Arial"/>
      <family val="2"/>
    </font>
    <font>
      <b/>
      <sz val="12"/>
      <color theme="1"/>
      <name val="Arial"/>
      <family val="2"/>
    </font>
    <font>
      <sz val="10"/>
      <name val="Arial"/>
    </font>
    <font>
      <b/>
      <sz val="18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0" fontId="18" fillId="0" borderId="0"/>
  </cellStyleXfs>
  <cellXfs count="416">
    <xf numFmtId="0" fontId="0" fillId="0" borderId="0" xfId="0"/>
    <xf numFmtId="0" fontId="2" fillId="0" borderId="0" xfId="1"/>
    <xf numFmtId="0" fontId="2" fillId="0" borderId="0" xfId="1" applyFont="1"/>
    <xf numFmtId="0" fontId="7" fillId="0" borderId="11" xfId="2" applyFont="1" applyFill="1" applyBorder="1"/>
    <xf numFmtId="3" fontId="7" fillId="0" borderId="13" xfId="2" applyNumberFormat="1" applyFont="1" applyFill="1" applyBorder="1"/>
    <xf numFmtId="10" fontId="6" fillId="0" borderId="0" xfId="1" applyNumberFormat="1" applyFont="1" applyBorder="1"/>
    <xf numFmtId="3" fontId="6" fillId="0" borderId="13" xfId="1" applyNumberFormat="1" applyFont="1" applyBorder="1"/>
    <xf numFmtId="164" fontId="6" fillId="0" borderId="0" xfId="1" applyNumberFormat="1" applyFont="1" applyFill="1" applyBorder="1"/>
    <xf numFmtId="164" fontId="6" fillId="0" borderId="13" xfId="1" applyNumberFormat="1" applyFont="1" applyFill="1" applyBorder="1"/>
    <xf numFmtId="164" fontId="6" fillId="0" borderId="0" xfId="1" applyNumberFormat="1" applyFont="1" applyBorder="1"/>
    <xf numFmtId="0" fontId="7" fillId="0" borderId="14" xfId="2" applyFont="1" applyFill="1" applyBorder="1"/>
    <xf numFmtId="0" fontId="7" fillId="0" borderId="15" xfId="2" applyFont="1" applyFill="1" applyBorder="1"/>
    <xf numFmtId="0" fontId="6" fillId="0" borderId="10" xfId="1" applyFont="1" applyBorder="1"/>
    <xf numFmtId="3" fontId="9" fillId="0" borderId="10" xfId="1" applyNumberFormat="1" applyFont="1" applyBorder="1"/>
    <xf numFmtId="4" fontId="9" fillId="0" borderId="7" xfId="1" applyNumberFormat="1" applyFont="1" applyBorder="1"/>
    <xf numFmtId="4" fontId="9" fillId="0" borderId="6" xfId="1" applyNumberFormat="1" applyFont="1" applyBorder="1"/>
    <xf numFmtId="164" fontId="9" fillId="0" borderId="7" xfId="1" applyNumberFormat="1" applyFont="1" applyBorder="1"/>
    <xf numFmtId="4" fontId="9" fillId="0" borderId="10" xfId="1" applyNumberFormat="1" applyFont="1" applyFill="1" applyBorder="1"/>
    <xf numFmtId="4" fontId="9" fillId="0" borderId="10" xfId="1" applyNumberFormat="1" applyFont="1" applyBorder="1"/>
    <xf numFmtId="0" fontId="6" fillId="0" borderId="0" xfId="1" applyFont="1"/>
    <xf numFmtId="3" fontId="6" fillId="0" borderId="0" xfId="1" applyNumberFormat="1" applyFont="1"/>
    <xf numFmtId="0" fontId="6" fillId="0" borderId="0" xfId="1" applyFont="1" applyFill="1" applyBorder="1"/>
    <xf numFmtId="0" fontId="11" fillId="0" borderId="0" xfId="0" applyFont="1"/>
    <xf numFmtId="0" fontId="0" fillId="0" borderId="0" xfId="0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center"/>
    </xf>
    <xf numFmtId="49" fontId="12" fillId="0" borderId="18" xfId="0" applyNumberFormat="1" applyFont="1" applyBorder="1" applyAlignment="1">
      <alignment horizontal="center"/>
    </xf>
    <xf numFmtId="49" fontId="12" fillId="0" borderId="14" xfId="0" applyNumberFormat="1" applyFont="1" applyBorder="1" applyAlignment="1">
      <alignment horizontal="center"/>
    </xf>
    <xf numFmtId="49" fontId="12" fillId="0" borderId="19" xfId="0" applyNumberFormat="1" applyFont="1" applyBorder="1" applyAlignment="1">
      <alignment horizontal="center"/>
    </xf>
    <xf numFmtId="0" fontId="11" fillId="0" borderId="2" xfId="0" applyFont="1" applyBorder="1"/>
    <xf numFmtId="165" fontId="11" fillId="0" borderId="1" xfId="6" applyNumberFormat="1" applyFont="1" applyBorder="1" applyAlignment="1">
      <alignment horizontal="center"/>
    </xf>
    <xf numFmtId="166" fontId="11" fillId="0" borderId="20" xfId="6" applyNumberFormat="1" applyFont="1" applyBorder="1"/>
    <xf numFmtId="164" fontId="11" fillId="0" borderId="1" xfId="0" applyNumberFormat="1" applyFont="1" applyBorder="1"/>
    <xf numFmtId="166" fontId="12" fillId="0" borderId="1" xfId="0" applyNumberFormat="1" applyFont="1" applyFill="1" applyBorder="1" applyAlignment="1">
      <alignment horizontal="right"/>
    </xf>
    <xf numFmtId="2" fontId="0" fillId="0" borderId="0" xfId="0" applyNumberFormat="1"/>
    <xf numFmtId="0" fontId="11" fillId="0" borderId="12" xfId="0" applyFont="1" applyBorder="1"/>
    <xf numFmtId="165" fontId="11" fillId="0" borderId="13" xfId="6" applyNumberFormat="1" applyFont="1" applyBorder="1" applyAlignment="1">
      <alignment horizontal="center"/>
    </xf>
    <xf numFmtId="166" fontId="11" fillId="0" borderId="0" xfId="6" applyNumberFormat="1" applyFont="1" applyBorder="1"/>
    <xf numFmtId="164" fontId="11" fillId="0" borderId="13" xfId="0" applyNumberFormat="1" applyFont="1" applyBorder="1"/>
    <xf numFmtId="166" fontId="12" fillId="0" borderId="13" xfId="0" applyNumberFormat="1" applyFont="1" applyFill="1" applyBorder="1" applyAlignment="1">
      <alignment horizontal="right"/>
    </xf>
    <xf numFmtId="0" fontId="11" fillId="0" borderId="21" xfId="0" applyFont="1" applyBorder="1"/>
    <xf numFmtId="165" fontId="11" fillId="0" borderId="9" xfId="6" applyNumberFormat="1" applyFont="1" applyBorder="1" applyAlignment="1">
      <alignment horizontal="center"/>
    </xf>
    <xf numFmtId="166" fontId="11" fillId="0" borderId="22" xfId="6" applyNumberFormat="1" applyFont="1" applyBorder="1"/>
    <xf numFmtId="164" fontId="11" fillId="0" borderId="9" xfId="0" applyNumberFormat="1" applyFont="1" applyBorder="1"/>
    <xf numFmtId="166" fontId="12" fillId="0" borderId="9" xfId="0" applyNumberFormat="1" applyFont="1" applyFill="1" applyBorder="1" applyAlignment="1">
      <alignment horizontal="right"/>
    </xf>
    <xf numFmtId="0" fontId="12" fillId="0" borderId="6" xfId="0" applyFont="1" applyBorder="1"/>
    <xf numFmtId="165" fontId="12" fillId="0" borderId="10" xfId="6" applyNumberFormat="1" applyFont="1" applyBorder="1" applyAlignment="1">
      <alignment horizontal="center"/>
    </xf>
    <xf numFmtId="166" fontId="11" fillId="0" borderId="23" xfId="6" applyNumberFormat="1" applyFont="1" applyBorder="1"/>
    <xf numFmtId="3" fontId="12" fillId="0" borderId="24" xfId="0" applyNumberFormat="1" applyFont="1" applyBorder="1"/>
    <xf numFmtId="166" fontId="12" fillId="0" borderId="26" xfId="0" applyNumberFormat="1" applyFont="1" applyFill="1" applyBorder="1" applyAlignment="1">
      <alignment horizontal="right"/>
    </xf>
    <xf numFmtId="3" fontId="11" fillId="0" borderId="20" xfId="0" applyNumberFormat="1" applyFont="1" applyFill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1" fillId="0" borderId="22" xfId="0" applyNumberFormat="1" applyFont="1" applyFill="1" applyBorder="1" applyAlignment="1">
      <alignment horizontal="right"/>
    </xf>
    <xf numFmtId="3" fontId="12" fillId="0" borderId="25" xfId="0" applyNumberFormat="1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0" xfId="0" applyBorder="1"/>
    <xf numFmtId="0" fontId="12" fillId="0" borderId="17" xfId="0" applyFont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9" fontId="12" fillId="0" borderId="17" xfId="0" applyNumberFormat="1" applyFont="1" applyBorder="1" applyAlignment="1">
      <alignment horizontal="center" vertical="center" wrapText="1"/>
    </xf>
    <xf numFmtId="9" fontId="12" fillId="0" borderId="18" xfId="0" applyNumberFormat="1" applyFont="1" applyBorder="1" applyAlignment="1">
      <alignment horizontal="center" vertical="center" wrapText="1"/>
    </xf>
    <xf numFmtId="9" fontId="12" fillId="0" borderId="19" xfId="0" applyNumberFormat="1" applyFont="1" applyBorder="1" applyAlignment="1">
      <alignment horizontal="center" vertical="center" wrapText="1"/>
    </xf>
    <xf numFmtId="49" fontId="12" fillId="0" borderId="13" xfId="0" applyNumberFormat="1" applyFont="1" applyBorder="1" applyAlignment="1">
      <alignment horizontal="center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49" fontId="12" fillId="0" borderId="21" xfId="0" applyNumberFormat="1" applyFont="1" applyBorder="1" applyAlignment="1">
      <alignment horizontal="center"/>
    </xf>
    <xf numFmtId="49" fontId="12" fillId="0" borderId="9" xfId="0" applyNumberFormat="1" applyFont="1" applyBorder="1" applyAlignment="1">
      <alignment horizontal="center"/>
    </xf>
    <xf numFmtId="49" fontId="12" fillId="0" borderId="0" xfId="0" applyNumberFormat="1" applyFont="1" applyBorder="1" applyAlignment="1">
      <alignment horizontal="center"/>
    </xf>
    <xf numFmtId="0" fontId="11" fillId="0" borderId="14" xfId="0" applyFont="1" applyBorder="1"/>
    <xf numFmtId="167" fontId="11" fillId="0" borderId="12" xfId="0" applyNumberFormat="1" applyFont="1" applyBorder="1"/>
    <xf numFmtId="167" fontId="11" fillId="0" borderId="27" xfId="0" applyNumberFormat="1" applyFont="1" applyFill="1" applyBorder="1"/>
    <xf numFmtId="167" fontId="11" fillId="0" borderId="12" xfId="0" applyNumberFormat="1" applyFont="1" applyFill="1" applyBorder="1"/>
    <xf numFmtId="167" fontId="11" fillId="0" borderId="0" xfId="0" applyNumberFormat="1" applyFont="1" applyBorder="1"/>
    <xf numFmtId="167" fontId="11" fillId="0" borderId="27" xfId="0" applyNumberFormat="1" applyFont="1" applyBorder="1"/>
    <xf numFmtId="164" fontId="11" fillId="0" borderId="12" xfId="0" applyNumberFormat="1" applyFont="1" applyBorder="1"/>
    <xf numFmtId="166" fontId="11" fillId="0" borderId="13" xfId="6" applyNumberFormat="1" applyFont="1" applyBorder="1"/>
    <xf numFmtId="165" fontId="11" fillId="0" borderId="0" xfId="6" applyNumberFormat="1" applyFont="1" applyBorder="1"/>
    <xf numFmtId="4" fontId="11" fillId="0" borderId="0" xfId="0" applyNumberFormat="1" applyFont="1" applyBorder="1"/>
    <xf numFmtId="164" fontId="11" fillId="0" borderId="0" xfId="0" applyNumberFormat="1" applyFont="1" applyBorder="1"/>
    <xf numFmtId="3" fontId="11" fillId="0" borderId="0" xfId="0" applyNumberFormat="1" applyFont="1" applyBorder="1"/>
    <xf numFmtId="0" fontId="11" fillId="0" borderId="0" xfId="0" applyFont="1" applyFill="1" applyBorder="1" applyAlignment="1">
      <alignment horizontal="center"/>
    </xf>
    <xf numFmtId="44" fontId="12" fillId="0" borderId="0" xfId="0" applyNumberFormat="1" applyFont="1" applyFill="1" applyBorder="1" applyAlignment="1">
      <alignment horizontal="center"/>
    </xf>
    <xf numFmtId="2" fontId="0" fillId="0" borderId="0" xfId="0" applyNumberFormat="1" applyBorder="1"/>
    <xf numFmtId="3" fontId="14" fillId="0" borderId="0" xfId="0" applyNumberFormat="1" applyFont="1" applyBorder="1" applyAlignment="1">
      <alignment horizontal="right" vertical="center" wrapText="1"/>
    </xf>
    <xf numFmtId="0" fontId="11" fillId="0" borderId="6" xfId="0" applyFont="1" applyBorder="1"/>
    <xf numFmtId="4" fontId="11" fillId="0" borderId="31" xfId="0" applyNumberFormat="1" applyFont="1" applyBorder="1" applyAlignment="1">
      <alignment horizontal="right"/>
    </xf>
    <xf numFmtId="4" fontId="11" fillId="0" borderId="26" xfId="0" applyNumberFormat="1" applyFont="1" applyFill="1" applyBorder="1" applyAlignment="1">
      <alignment horizontal="right"/>
    </xf>
    <xf numFmtId="4" fontId="11" fillId="0" borderId="31" xfId="0" applyNumberFormat="1" applyFont="1" applyFill="1" applyBorder="1" applyAlignment="1">
      <alignment horizontal="right"/>
    </xf>
    <xf numFmtId="164" fontId="11" fillId="0" borderId="24" xfId="0" applyNumberFormat="1" applyFont="1" applyBorder="1" applyAlignment="1">
      <alignment horizontal="right"/>
    </xf>
    <xf numFmtId="4" fontId="11" fillId="0" borderId="24" xfId="0" applyNumberFormat="1" applyFont="1" applyBorder="1" applyAlignment="1">
      <alignment horizontal="right"/>
    </xf>
    <xf numFmtId="4" fontId="11" fillId="0" borderId="26" xfId="0" applyNumberFormat="1" applyFont="1" applyBorder="1" applyAlignment="1">
      <alignment horizontal="right"/>
    </xf>
    <xf numFmtId="4" fontId="11" fillId="0" borderId="6" xfId="0" applyNumberFormat="1" applyFont="1" applyBorder="1" applyAlignment="1">
      <alignment horizontal="right"/>
    </xf>
    <xf numFmtId="166" fontId="11" fillId="0" borderId="10" xfId="6" applyNumberFormat="1" applyFont="1" applyBorder="1"/>
    <xf numFmtId="44" fontId="11" fillId="0" borderId="32" xfId="6" applyFont="1" applyBorder="1"/>
    <xf numFmtId="164" fontId="12" fillId="0" borderId="0" xfId="0" applyNumberFormat="1" applyFont="1" applyBorder="1"/>
    <xf numFmtId="3" fontId="12" fillId="0" borderId="0" xfId="0" applyNumberFormat="1" applyFont="1" applyBorder="1"/>
    <xf numFmtId="4" fontId="11" fillId="0" borderId="0" xfId="0" applyNumberFormat="1" applyFont="1" applyAlignment="1"/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44" fontId="11" fillId="0" borderId="0" xfId="0" applyNumberFormat="1" applyFont="1"/>
    <xf numFmtId="0" fontId="12" fillId="0" borderId="20" xfId="0" applyFont="1" applyBorder="1" applyAlignment="1">
      <alignment horizontal="center"/>
    </xf>
    <xf numFmtId="0" fontId="12" fillId="0" borderId="2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49" fontId="12" fillId="0" borderId="22" xfId="0" applyNumberFormat="1" applyFont="1" applyBorder="1" applyAlignment="1">
      <alignment horizontal="center"/>
    </xf>
    <xf numFmtId="3" fontId="11" fillId="0" borderId="0" xfId="0" applyNumberFormat="1" applyFont="1" applyBorder="1" applyAlignment="1">
      <alignment horizontal="right"/>
    </xf>
    <xf numFmtId="3" fontId="11" fillId="0" borderId="13" xfId="0" applyNumberFormat="1" applyFont="1" applyBorder="1" applyAlignment="1">
      <alignment horizontal="right"/>
    </xf>
    <xf numFmtId="3" fontId="15" fillId="0" borderId="0" xfId="0" applyNumberFormat="1" applyFont="1" applyBorder="1"/>
    <xf numFmtId="3" fontId="16" fillId="0" borderId="0" xfId="0" applyNumberFormat="1" applyFont="1" applyBorder="1"/>
    <xf numFmtId="0" fontId="12" fillId="0" borderId="33" xfId="0" applyFont="1" applyBorder="1"/>
    <xf numFmtId="165" fontId="12" fillId="0" borderId="34" xfId="6" applyNumberFormat="1" applyFont="1" applyBorder="1" applyAlignment="1">
      <alignment horizontal="center"/>
    </xf>
    <xf numFmtId="3" fontId="12" fillId="0" borderId="10" xfId="0" applyNumberFormat="1" applyFont="1" applyBorder="1"/>
    <xf numFmtId="3" fontId="12" fillId="0" borderId="6" xfId="0" applyNumberFormat="1" applyFont="1" applyBorder="1" applyAlignment="1">
      <alignment horizontal="right"/>
    </xf>
    <xf numFmtId="164" fontId="11" fillId="0" borderId="0" xfId="0" applyNumberFormat="1" applyFont="1"/>
    <xf numFmtId="3" fontId="12" fillId="0" borderId="10" xfId="0" applyNumberFormat="1" applyFont="1" applyBorder="1" applyAlignment="1">
      <alignment horizontal="right"/>
    </xf>
    <xf numFmtId="164" fontId="11" fillId="0" borderId="27" xfId="0" applyNumberFormat="1" applyFont="1" applyBorder="1" applyAlignment="1">
      <alignment horizontal="right"/>
    </xf>
    <xf numFmtId="164" fontId="11" fillId="0" borderId="36" xfId="0" applyNumberFormat="1" applyFont="1" applyBorder="1" applyAlignment="1">
      <alignment horizontal="right"/>
    </xf>
    <xf numFmtId="166" fontId="12" fillId="0" borderId="22" xfId="6" applyNumberFormat="1" applyFont="1" applyBorder="1"/>
    <xf numFmtId="3" fontId="12" fillId="0" borderId="9" xfId="0" applyNumberFormat="1" applyFont="1" applyBorder="1"/>
    <xf numFmtId="166" fontId="11" fillId="0" borderId="2" xfId="6" applyNumberFormat="1" applyFont="1" applyBorder="1"/>
    <xf numFmtId="3" fontId="11" fillId="0" borderId="1" xfId="0" applyNumberFormat="1" applyFont="1" applyBorder="1"/>
    <xf numFmtId="166" fontId="11" fillId="0" borderId="12" xfId="6" applyNumberFormat="1" applyFont="1" applyBorder="1"/>
    <xf numFmtId="3" fontId="14" fillId="0" borderId="27" xfId="0" applyNumberFormat="1" applyFont="1" applyBorder="1" applyAlignment="1">
      <alignment horizontal="right" vertical="center" wrapText="1"/>
    </xf>
    <xf numFmtId="3" fontId="11" fillId="0" borderId="13" xfId="0" applyNumberFormat="1" applyFont="1" applyBorder="1"/>
    <xf numFmtId="166" fontId="11" fillId="0" borderId="21" xfId="6" applyNumberFormat="1" applyFont="1" applyBorder="1"/>
    <xf numFmtId="3" fontId="11" fillId="0" borderId="9" xfId="0" applyNumberFormat="1" applyFont="1" applyBorder="1"/>
    <xf numFmtId="4" fontId="12" fillId="0" borderId="9" xfId="0" applyNumberFormat="1" applyFont="1" applyBorder="1"/>
    <xf numFmtId="0" fontId="12" fillId="0" borderId="11" xfId="0" applyFont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49" fontId="12" fillId="0" borderId="30" xfId="0" applyNumberFormat="1" applyFont="1" applyBorder="1" applyAlignment="1">
      <alignment horizontal="center"/>
    </xf>
    <xf numFmtId="49" fontId="12" fillId="0" borderId="15" xfId="0" applyNumberFormat="1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165" fontId="11" fillId="0" borderId="1" xfId="6" applyNumberFormat="1" applyFont="1" applyBorder="1" applyAlignment="1">
      <alignment horizontal="right"/>
    </xf>
    <xf numFmtId="166" fontId="11" fillId="0" borderId="20" xfId="6" applyNumberFormat="1" applyFont="1" applyFill="1" applyBorder="1"/>
    <xf numFmtId="167" fontId="11" fillId="0" borderId="20" xfId="0" applyNumberFormat="1" applyFont="1" applyBorder="1"/>
    <xf numFmtId="3" fontId="11" fillId="0" borderId="1" xfId="0" applyNumberFormat="1" applyFont="1" applyFill="1" applyBorder="1"/>
    <xf numFmtId="3" fontId="11" fillId="0" borderId="20" xfId="0" applyNumberFormat="1" applyFont="1" applyBorder="1"/>
    <xf numFmtId="3" fontId="11" fillId="0" borderId="20" xfId="0" applyNumberFormat="1" applyFont="1" applyFill="1" applyBorder="1" applyAlignment="1"/>
    <xf numFmtId="3" fontId="11" fillId="0" borderId="1" xfId="0" applyNumberFormat="1" applyFont="1" applyFill="1" applyBorder="1" applyAlignment="1"/>
    <xf numFmtId="165" fontId="11" fillId="0" borderId="13" xfId="6" applyNumberFormat="1" applyFont="1" applyBorder="1" applyAlignment="1">
      <alignment horizontal="right"/>
    </xf>
    <xf numFmtId="166" fontId="11" fillId="0" borderId="0" xfId="6" applyNumberFormat="1" applyFont="1" applyFill="1" applyBorder="1"/>
    <xf numFmtId="3" fontId="14" fillId="0" borderId="13" xfId="0" applyNumberFormat="1" applyFont="1" applyFill="1" applyBorder="1" applyAlignment="1">
      <alignment horizontal="right" vertical="center" wrapText="1"/>
    </xf>
    <xf numFmtId="3" fontId="11" fillId="0" borderId="0" xfId="0" applyNumberFormat="1" applyFont="1" applyFill="1" applyBorder="1" applyAlignment="1"/>
    <xf numFmtId="3" fontId="11" fillId="0" borderId="13" xfId="0" applyNumberFormat="1" applyFont="1" applyFill="1" applyBorder="1" applyAlignment="1"/>
    <xf numFmtId="3" fontId="11" fillId="0" borderId="13" xfId="0" applyNumberFormat="1" applyFont="1" applyFill="1" applyBorder="1"/>
    <xf numFmtId="167" fontId="11" fillId="0" borderId="35" xfId="0" applyNumberFormat="1" applyFont="1" applyBorder="1"/>
    <xf numFmtId="3" fontId="11" fillId="0" borderId="34" xfId="0" applyNumberFormat="1" applyFont="1" applyFill="1" applyBorder="1"/>
    <xf numFmtId="3" fontId="11" fillId="0" borderId="35" xfId="0" applyNumberFormat="1" applyFont="1" applyBorder="1"/>
    <xf numFmtId="4" fontId="11" fillId="0" borderId="34" xfId="0" applyNumberFormat="1" applyFont="1" applyBorder="1"/>
    <xf numFmtId="3" fontId="11" fillId="0" borderId="35" xfId="0" applyNumberFormat="1" applyFont="1" applyFill="1" applyBorder="1" applyAlignment="1"/>
    <xf numFmtId="3" fontId="11" fillId="0" borderId="34" xfId="0" applyNumberFormat="1" applyFont="1" applyFill="1" applyBorder="1" applyAlignment="1"/>
    <xf numFmtId="0" fontId="11" fillId="0" borderId="0" xfId="0" applyFont="1" applyAlignment="1"/>
    <xf numFmtId="3" fontId="11" fillId="0" borderId="34" xfId="0" applyNumberFormat="1" applyFont="1" applyBorder="1"/>
    <xf numFmtId="0" fontId="11" fillId="0" borderId="0" xfId="0" applyFont="1" applyFill="1" applyBorder="1"/>
    <xf numFmtId="0" fontId="0" fillId="0" borderId="0" xfId="0" applyFill="1"/>
    <xf numFmtId="0" fontId="12" fillId="0" borderId="0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2" fillId="0" borderId="27" xfId="0" applyFont="1" applyFill="1" applyBorder="1" applyAlignment="1">
      <alignment horizontal="center"/>
    </xf>
    <xf numFmtId="49" fontId="12" fillId="0" borderId="12" xfId="0" applyNumberFormat="1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49" fontId="12" fillId="0" borderId="27" xfId="0" applyNumberFormat="1" applyFont="1" applyFill="1" applyBorder="1" applyAlignment="1">
      <alignment horizontal="center"/>
    </xf>
    <xf numFmtId="49" fontId="12" fillId="0" borderId="13" xfId="0" applyNumberFormat="1" applyFont="1" applyFill="1" applyBorder="1" applyAlignment="1">
      <alignment horizontal="center"/>
    </xf>
    <xf numFmtId="0" fontId="0" fillId="0" borderId="12" xfId="0" applyFill="1" applyBorder="1"/>
    <xf numFmtId="0" fontId="0" fillId="0" borderId="0" xfId="0" applyFill="1" applyBorder="1"/>
    <xf numFmtId="9" fontId="12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49" fontId="12" fillId="0" borderId="21" xfId="0" applyNumberFormat="1" applyFont="1" applyFill="1" applyBorder="1" applyAlignment="1">
      <alignment horizontal="center"/>
    </xf>
    <xf numFmtId="49" fontId="12" fillId="0" borderId="9" xfId="0" applyNumberFormat="1" applyFont="1" applyFill="1" applyBorder="1" applyAlignment="1">
      <alignment horizontal="center"/>
    </xf>
    <xf numFmtId="49" fontId="12" fillId="0" borderId="36" xfId="0" applyNumberFormat="1" applyFont="1" applyFill="1" applyBorder="1" applyAlignment="1">
      <alignment horizontal="center"/>
    </xf>
    <xf numFmtId="49" fontId="12" fillId="0" borderId="22" xfId="0" applyNumberFormat="1" applyFont="1" applyFill="1" applyBorder="1" applyAlignment="1">
      <alignment horizontal="center"/>
    </xf>
    <xf numFmtId="0" fontId="11" fillId="0" borderId="12" xfId="0" applyFont="1" applyFill="1" applyBorder="1"/>
    <xf numFmtId="165" fontId="11" fillId="0" borderId="1" xfId="6" applyNumberFormat="1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right" vertical="center"/>
    </xf>
    <xf numFmtId="164" fontId="11" fillId="0" borderId="3" xfId="0" applyNumberFormat="1" applyFont="1" applyFill="1" applyBorder="1" applyAlignment="1">
      <alignment horizontal="right" vertical="center"/>
    </xf>
    <xf numFmtId="164" fontId="11" fillId="0" borderId="0" xfId="0" applyNumberFormat="1" applyFont="1" applyFill="1" applyBorder="1" applyAlignment="1">
      <alignment horizontal="center" vertical="center"/>
    </xf>
    <xf numFmtId="164" fontId="11" fillId="0" borderId="27" xfId="0" applyNumberFormat="1" applyFont="1" applyFill="1" applyBorder="1"/>
    <xf numFmtId="164" fontId="11" fillId="0" borderId="0" xfId="0" applyNumberFormat="1" applyFont="1" applyFill="1" applyBorder="1"/>
    <xf numFmtId="3" fontId="11" fillId="0" borderId="12" xfId="0" applyNumberFormat="1" applyFont="1" applyFill="1" applyBorder="1"/>
    <xf numFmtId="3" fontId="11" fillId="0" borderId="0" xfId="0" applyNumberFormat="1" applyFont="1" applyFill="1" applyBorder="1"/>
    <xf numFmtId="3" fontId="11" fillId="0" borderId="27" xfId="0" applyNumberFormat="1" applyFont="1" applyFill="1" applyBorder="1"/>
    <xf numFmtId="3" fontId="11" fillId="0" borderId="3" xfId="0" applyNumberFormat="1" applyFont="1" applyFill="1" applyBorder="1"/>
    <xf numFmtId="165" fontId="11" fillId="0" borderId="13" xfId="6" applyNumberFormat="1" applyFont="1" applyFill="1" applyBorder="1" applyAlignment="1">
      <alignment horizontal="center"/>
    </xf>
    <xf numFmtId="164" fontId="11" fillId="0" borderId="12" xfId="0" applyNumberFormat="1" applyFont="1" applyFill="1" applyBorder="1" applyAlignment="1">
      <alignment horizontal="right" vertical="center"/>
    </xf>
    <xf numFmtId="164" fontId="11" fillId="0" borderId="27" xfId="0" applyNumberFormat="1" applyFont="1" applyFill="1" applyBorder="1" applyAlignment="1">
      <alignment horizontal="right" vertical="center"/>
    </xf>
    <xf numFmtId="164" fontId="11" fillId="0" borderId="21" xfId="0" applyNumberFormat="1" applyFont="1" applyFill="1" applyBorder="1" applyAlignment="1">
      <alignment horizontal="right" vertical="center"/>
    </xf>
    <xf numFmtId="164" fontId="11" fillId="0" borderId="36" xfId="0" applyNumberFormat="1" applyFont="1" applyFill="1" applyBorder="1" applyAlignment="1">
      <alignment horizontal="right" vertical="center"/>
    </xf>
    <xf numFmtId="0" fontId="11" fillId="0" borderId="6" xfId="0" applyFont="1" applyFill="1" applyBorder="1"/>
    <xf numFmtId="165" fontId="11" fillId="0" borderId="10" xfId="6" applyNumberFormat="1" applyFont="1" applyFill="1" applyBorder="1" applyAlignment="1">
      <alignment horizontal="center"/>
    </xf>
    <xf numFmtId="166" fontId="11" fillId="0" borderId="8" xfId="6" applyNumberFormat="1" applyFont="1" applyFill="1" applyBorder="1"/>
    <xf numFmtId="4" fontId="11" fillId="0" borderId="10" xfId="0" applyNumberFormat="1" applyFont="1" applyFill="1" applyBorder="1" applyAlignment="1">
      <alignment horizontal="center" vertical="center"/>
    </xf>
    <xf numFmtId="164" fontId="11" fillId="0" borderId="6" xfId="0" applyNumberFormat="1" applyFont="1" applyFill="1" applyBorder="1" applyAlignment="1">
      <alignment horizontal="center" vertical="center"/>
    </xf>
    <xf numFmtId="164" fontId="11" fillId="0" borderId="8" xfId="0" applyNumberFormat="1" applyFont="1" applyFill="1" applyBorder="1" applyAlignment="1">
      <alignment horizontal="center" vertical="center"/>
    </xf>
    <xf numFmtId="164" fontId="11" fillId="0" borderId="7" xfId="0" applyNumberFormat="1" applyFont="1" applyFill="1" applyBorder="1"/>
    <xf numFmtId="164" fontId="11" fillId="0" borderId="8" xfId="0" applyNumberFormat="1" applyFont="1" applyFill="1" applyBorder="1"/>
    <xf numFmtId="3" fontId="11" fillId="0" borderId="6" xfId="0" applyNumberFormat="1" applyFont="1" applyFill="1" applyBorder="1"/>
    <xf numFmtId="3" fontId="11" fillId="0" borderId="8" xfId="0" applyNumberFormat="1" applyFont="1" applyFill="1" applyBorder="1"/>
    <xf numFmtId="3" fontId="11" fillId="0" borderId="7" xfId="0" applyNumberFormat="1" applyFont="1" applyFill="1" applyBorder="1"/>
    <xf numFmtId="164" fontId="12" fillId="0" borderId="0" xfId="0" applyNumberFormat="1" applyFont="1" applyFill="1" applyBorder="1"/>
    <xf numFmtId="4" fontId="11" fillId="0" borderId="8" xfId="0" applyNumberFormat="1" applyFont="1" applyFill="1" applyBorder="1" applyAlignment="1">
      <alignment horizontal="right" vertical="center"/>
    </xf>
    <xf numFmtId="0" fontId="0" fillId="0" borderId="1" xfId="0" applyBorder="1"/>
    <xf numFmtId="2" fontId="12" fillId="0" borderId="8" xfId="0" applyNumberFormat="1" applyFont="1" applyBorder="1" applyAlignment="1">
      <alignment horizontal="center"/>
    </xf>
    <xf numFmtId="4" fontId="12" fillId="0" borderId="2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12" fillId="0" borderId="12" xfId="0" applyNumberFormat="1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9" fontId="12" fillId="0" borderId="13" xfId="0" applyNumberFormat="1" applyFont="1" applyBorder="1" applyAlignment="1">
      <alignment horizontal="center"/>
    </xf>
    <xf numFmtId="49" fontId="12" fillId="0" borderId="39" xfId="0" applyNumberFormat="1" applyFont="1" applyBorder="1" applyAlignment="1">
      <alignment horizontal="center"/>
    </xf>
    <xf numFmtId="49" fontId="12" fillId="0" borderId="40" xfId="0" applyNumberFormat="1" applyFont="1" applyBorder="1" applyAlignment="1">
      <alignment horizontal="center"/>
    </xf>
    <xf numFmtId="0" fontId="0" fillId="0" borderId="41" xfId="0" applyBorder="1" applyAlignment="1">
      <alignment horizontal="center" vertical="center" wrapText="1"/>
    </xf>
    <xf numFmtId="167" fontId="11" fillId="0" borderId="1" xfId="0" applyNumberFormat="1" applyFont="1" applyBorder="1"/>
    <xf numFmtId="167" fontId="11" fillId="0" borderId="13" xfId="0" applyNumberFormat="1" applyFont="1" applyBorder="1"/>
    <xf numFmtId="166" fontId="11" fillId="0" borderId="13" xfId="0" applyNumberFormat="1" applyFont="1" applyBorder="1"/>
    <xf numFmtId="167" fontId="11" fillId="0" borderId="0" xfId="0" applyNumberFormat="1" applyFont="1"/>
    <xf numFmtId="0" fontId="11" fillId="0" borderId="13" xfId="0" applyFont="1" applyBorder="1"/>
    <xf numFmtId="3" fontId="11" fillId="0" borderId="0" xfId="0" applyNumberFormat="1" applyFont="1"/>
    <xf numFmtId="166" fontId="11" fillId="0" borderId="1" xfId="0" applyNumberFormat="1" applyFont="1" applyBorder="1"/>
    <xf numFmtId="165" fontId="11" fillId="0" borderId="12" xfId="6" applyNumberFormat="1" applyFont="1" applyBorder="1" applyAlignment="1">
      <alignment horizontal="center"/>
    </xf>
    <xf numFmtId="0" fontId="12" fillId="0" borderId="10" xfId="0" applyFont="1" applyBorder="1"/>
    <xf numFmtId="165" fontId="12" fillId="0" borderId="6" xfId="6" applyNumberFormat="1" applyFont="1" applyBorder="1" applyAlignment="1">
      <alignment horizontal="center"/>
    </xf>
    <xf numFmtId="166" fontId="12" fillId="0" borderId="10" xfId="6" applyNumberFormat="1" applyFont="1" applyBorder="1"/>
    <xf numFmtId="2" fontId="12" fillId="0" borderId="23" xfId="0" applyNumberFormat="1" applyFont="1" applyBorder="1"/>
    <xf numFmtId="3" fontId="12" fillId="0" borderId="25" xfId="0" applyNumberFormat="1" applyFont="1" applyBorder="1"/>
    <xf numFmtId="4" fontId="12" fillId="0" borderId="10" xfId="0" applyNumberFormat="1" applyFont="1" applyBorder="1"/>
    <xf numFmtId="4" fontId="11" fillId="0" borderId="10" xfId="0" applyNumberFormat="1" applyFont="1" applyBorder="1"/>
    <xf numFmtId="3" fontId="11" fillId="0" borderId="10" xfId="0" applyNumberFormat="1" applyFont="1" applyBorder="1"/>
    <xf numFmtId="166" fontId="11" fillId="0" borderId="10" xfId="0" applyNumberFormat="1" applyFont="1" applyBorder="1"/>
    <xf numFmtId="4" fontId="11" fillId="0" borderId="6" xfId="0" applyNumberFormat="1" applyFont="1" applyBorder="1"/>
    <xf numFmtId="2" fontId="11" fillId="0" borderId="10" xfId="0" applyNumberFormat="1" applyFont="1" applyBorder="1"/>
    <xf numFmtId="3" fontId="11" fillId="0" borderId="8" xfId="0" applyNumberFormat="1" applyFont="1" applyBorder="1"/>
    <xf numFmtId="166" fontId="0" fillId="0" borderId="0" xfId="0" applyNumberFormat="1"/>
    <xf numFmtId="0" fontId="8" fillId="0" borderId="9" xfId="2" applyFont="1" applyFill="1" applyBorder="1"/>
    <xf numFmtId="0" fontId="6" fillId="0" borderId="1" xfId="1" applyFont="1" applyBorder="1"/>
    <xf numFmtId="0" fontId="6" fillId="0" borderId="13" xfId="1" applyFont="1" applyBorder="1"/>
    <xf numFmtId="166" fontId="12" fillId="0" borderId="9" xfId="0" applyNumberFormat="1" applyFont="1" applyBorder="1" applyAlignment="1">
      <alignment horizontal="right"/>
    </xf>
    <xf numFmtId="164" fontId="11" fillId="0" borderId="2" xfId="0" applyNumberFormat="1" applyFont="1" applyBorder="1"/>
    <xf numFmtId="164" fontId="11" fillId="0" borderId="21" xfId="0" applyNumberFormat="1" applyFont="1" applyBorder="1"/>
    <xf numFmtId="166" fontId="11" fillId="0" borderId="1" xfId="0" applyNumberFormat="1" applyFont="1" applyBorder="1" applyAlignment="1">
      <alignment horizontal="right"/>
    </xf>
    <xf numFmtId="166" fontId="11" fillId="0" borderId="13" xfId="0" applyNumberFormat="1" applyFont="1" applyBorder="1" applyAlignment="1">
      <alignment horizontal="right"/>
    </xf>
    <xf numFmtId="166" fontId="11" fillId="0" borderId="9" xfId="0" applyNumberFormat="1" applyFont="1" applyBorder="1" applyAlignment="1">
      <alignment horizontal="right"/>
    </xf>
    <xf numFmtId="4" fontId="9" fillId="0" borderId="6" xfId="1" applyNumberFormat="1" applyFont="1" applyFill="1" applyBorder="1"/>
    <xf numFmtId="0" fontId="12" fillId="0" borderId="3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49" fontId="12" fillId="0" borderId="27" xfId="0" applyNumberFormat="1" applyFont="1" applyBorder="1" applyAlignment="1">
      <alignment horizontal="center"/>
    </xf>
    <xf numFmtId="49" fontId="12" fillId="0" borderId="36" xfId="0" applyNumberFormat="1" applyFont="1" applyBorder="1" applyAlignment="1">
      <alignment horizontal="center"/>
    </xf>
    <xf numFmtId="0" fontId="11" fillId="0" borderId="1" xfId="0" applyFont="1" applyFill="1" applyBorder="1"/>
    <xf numFmtId="3" fontId="11" fillId="0" borderId="27" xfId="0" applyNumberFormat="1" applyFont="1" applyBorder="1"/>
    <xf numFmtId="0" fontId="11" fillId="0" borderId="13" xfId="0" applyFont="1" applyFill="1" applyBorder="1"/>
    <xf numFmtId="4" fontId="12" fillId="0" borderId="7" xfId="0" applyNumberFormat="1" applyFont="1" applyBorder="1"/>
    <xf numFmtId="0" fontId="0" fillId="0" borderId="0" xfId="0" applyAlignment="1"/>
    <xf numFmtId="0" fontId="12" fillId="0" borderId="43" xfId="0" applyFont="1" applyBorder="1" applyAlignment="1">
      <alignment horizontal="center"/>
    </xf>
    <xf numFmtId="49" fontId="12" fillId="0" borderId="44" xfId="0" applyNumberFormat="1" applyFont="1" applyBorder="1" applyAlignment="1">
      <alignment horizontal="center"/>
    </xf>
    <xf numFmtId="0" fontId="11" fillId="0" borderId="45" xfId="0" applyFont="1" applyBorder="1"/>
    <xf numFmtId="165" fontId="11" fillId="0" borderId="42" xfId="6" applyNumberFormat="1" applyFont="1" applyBorder="1" applyAlignment="1">
      <alignment horizontal="center"/>
    </xf>
    <xf numFmtId="4" fontId="11" fillId="0" borderId="42" xfId="0" applyNumberFormat="1" applyFont="1" applyBorder="1"/>
    <xf numFmtId="165" fontId="11" fillId="0" borderId="0" xfId="6" applyNumberFormat="1" applyFont="1" applyBorder="1" applyAlignment="1">
      <alignment horizontal="center"/>
    </xf>
    <xf numFmtId="0" fontId="12" fillId="0" borderId="46" xfId="0" applyFont="1" applyBorder="1"/>
    <xf numFmtId="165" fontId="12" fillId="0" borderId="46" xfId="6" applyNumberFormat="1" applyFont="1" applyBorder="1" applyAlignment="1">
      <alignment horizontal="center"/>
    </xf>
    <xf numFmtId="4" fontId="12" fillId="0" borderId="46" xfId="0" applyNumberFormat="1" applyFont="1" applyBorder="1"/>
    <xf numFmtId="0" fontId="0" fillId="0" borderId="0" xfId="0" applyAlignment="1">
      <alignment vertical="justify" wrapText="1"/>
    </xf>
    <xf numFmtId="3" fontId="0" fillId="0" borderId="0" xfId="0" applyNumberFormat="1"/>
    <xf numFmtId="49" fontId="12" fillId="0" borderId="29" xfId="0" applyNumberFormat="1" applyFont="1" applyBorder="1" applyAlignment="1">
      <alignment horizontal="center" vertical="center" wrapText="1"/>
    </xf>
    <xf numFmtId="3" fontId="14" fillId="0" borderId="13" xfId="0" applyNumberFormat="1" applyFont="1" applyBorder="1" applyAlignment="1">
      <alignment horizontal="righ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/>
    </xf>
    <xf numFmtId="0" fontId="12" fillId="2" borderId="46" xfId="0" applyFont="1" applyFill="1" applyBorder="1" applyAlignment="1">
      <alignment horizontal="center"/>
    </xf>
    <xf numFmtId="3" fontId="11" fillId="0" borderId="46" xfId="0" applyNumberFormat="1" applyFont="1" applyBorder="1"/>
    <xf numFmtId="3" fontId="12" fillId="0" borderId="46" xfId="0" applyNumberFormat="1" applyFont="1" applyBorder="1"/>
    <xf numFmtId="3" fontId="12" fillId="2" borderId="46" xfId="0" applyNumberFormat="1" applyFont="1" applyFill="1" applyBorder="1"/>
    <xf numFmtId="0" fontId="18" fillId="0" borderId="0" xfId="7"/>
    <xf numFmtId="0" fontId="18" fillId="0" borderId="0" xfId="7" applyAlignment="1">
      <alignment horizontal="center"/>
    </xf>
    <xf numFmtId="0" fontId="4" fillId="0" borderId="4" xfId="7" applyFont="1" applyBorder="1" applyAlignment="1">
      <alignment horizontal="center" vertical="center"/>
    </xf>
    <xf numFmtId="49" fontId="12" fillId="0" borderId="41" xfId="0" applyNumberFormat="1" applyFont="1" applyBorder="1" applyAlignment="1">
      <alignment horizontal="center"/>
    </xf>
    <xf numFmtId="49" fontId="2" fillId="0" borderId="50" xfId="7" applyNumberFormat="1" applyFont="1" applyBorder="1" applyAlignment="1">
      <alignment horizontal="left"/>
    </xf>
    <xf numFmtId="49" fontId="2" fillId="0" borderId="32" xfId="7" applyNumberFormat="1" applyFont="1" applyBorder="1" applyAlignment="1">
      <alignment horizontal="left"/>
    </xf>
    <xf numFmtId="0" fontId="4" fillId="0" borderId="53" xfId="7" applyFont="1" applyBorder="1"/>
    <xf numFmtId="0" fontId="4" fillId="0" borderId="33" xfId="7" applyFont="1" applyBorder="1"/>
    <xf numFmtId="16" fontId="2" fillId="0" borderId="47" xfId="7" applyNumberFormat="1" applyFont="1" applyBorder="1" applyAlignment="1">
      <alignment horizontal="left"/>
    </xf>
    <xf numFmtId="49" fontId="2" fillId="0" borderId="48" xfId="7" applyNumberFormat="1" applyFont="1" applyBorder="1" applyAlignment="1">
      <alignment horizontal="left"/>
    </xf>
    <xf numFmtId="0" fontId="18" fillId="0" borderId="0" xfId="7" applyAlignment="1">
      <alignment horizontal="left"/>
    </xf>
    <xf numFmtId="49" fontId="2" fillId="0" borderId="32" xfId="7" applyNumberFormat="1" applyFont="1" applyBorder="1" applyAlignment="1">
      <alignment horizontal="left" wrapText="1"/>
    </xf>
    <xf numFmtId="49" fontId="2" fillId="0" borderId="50" xfId="7" applyNumberFormat="1" applyFont="1" applyBorder="1" applyAlignment="1">
      <alignment horizontal="left" wrapText="1"/>
    </xf>
    <xf numFmtId="49" fontId="2" fillId="0" borderId="32" xfId="7" applyNumberFormat="1" applyFont="1" applyBorder="1" applyAlignment="1"/>
    <xf numFmtId="0" fontId="2" fillId="0" borderId="47" xfId="7" applyNumberFormat="1" applyFont="1" applyBorder="1" applyAlignment="1">
      <alignment horizontal="left"/>
    </xf>
    <xf numFmtId="0" fontId="18" fillId="0" borderId="55" xfId="7" applyNumberFormat="1" applyBorder="1" applyAlignment="1">
      <alignment horizontal="left"/>
    </xf>
    <xf numFmtId="0" fontId="2" fillId="0" borderId="55" xfId="7" applyNumberFormat="1" applyFont="1" applyBorder="1" applyAlignment="1">
      <alignment horizontal="left"/>
    </xf>
    <xf numFmtId="49" fontId="2" fillId="0" borderId="37" xfId="7" applyNumberFormat="1" applyFont="1" applyBorder="1" applyAlignment="1">
      <alignment horizontal="left"/>
    </xf>
    <xf numFmtId="49" fontId="2" fillId="0" borderId="35" xfId="7" applyNumberFormat="1" applyFont="1" applyBorder="1" applyAlignment="1">
      <alignment horizontal="left"/>
    </xf>
    <xf numFmtId="49" fontId="2" fillId="0" borderId="50" xfId="7" applyNumberFormat="1" applyFont="1" applyBorder="1" applyAlignment="1"/>
    <xf numFmtId="0" fontId="2" fillId="0" borderId="37" xfId="7" applyNumberFormat="1" applyFont="1" applyBorder="1" applyAlignment="1">
      <alignment horizontal="left"/>
    </xf>
    <xf numFmtId="0" fontId="2" fillId="0" borderId="56" xfId="7" applyNumberFormat="1" applyFont="1" applyBorder="1" applyAlignment="1">
      <alignment horizontal="left"/>
    </xf>
    <xf numFmtId="49" fontId="12" fillId="0" borderId="52" xfId="0" applyNumberFormat="1" applyFont="1" applyBorder="1" applyAlignment="1">
      <alignment horizontal="center"/>
    </xf>
    <xf numFmtId="0" fontId="6" fillId="0" borderId="8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wrapText="1"/>
    </xf>
    <xf numFmtId="165" fontId="11" fillId="0" borderId="39" xfId="6" applyNumberFormat="1" applyFont="1" applyBorder="1" applyAlignment="1">
      <alignment horizontal="right"/>
    </xf>
    <xf numFmtId="0" fontId="11" fillId="0" borderId="33" xfId="0" applyFont="1" applyBorder="1"/>
    <xf numFmtId="165" fontId="11" fillId="0" borderId="34" xfId="6" applyNumberFormat="1" applyFont="1" applyBorder="1" applyAlignment="1">
      <alignment horizontal="center"/>
    </xf>
    <xf numFmtId="166" fontId="11" fillId="0" borderId="34" xfId="6" applyNumberFormat="1" applyFont="1" applyFill="1" applyBorder="1"/>
    <xf numFmtId="0" fontId="18" fillId="0" borderId="0" xfId="7" applyAlignment="1">
      <alignment horizontal="center"/>
    </xf>
    <xf numFmtId="0" fontId="4" fillId="0" borderId="4" xfId="7" applyFont="1" applyBorder="1" applyAlignment="1">
      <alignment horizontal="center" vertical="center"/>
    </xf>
    <xf numFmtId="0" fontId="4" fillId="0" borderId="28" xfId="7" applyFont="1" applyBorder="1" applyAlignment="1">
      <alignment horizontal="center" vertical="center"/>
    </xf>
    <xf numFmtId="0" fontId="4" fillId="0" borderId="11" xfId="7" applyFont="1" applyBorder="1" applyAlignment="1">
      <alignment horizontal="center" vertical="center" wrapText="1"/>
    </xf>
    <xf numFmtId="0" fontId="4" fillId="0" borderId="51" xfId="7" applyFont="1" applyBorder="1" applyAlignment="1">
      <alignment horizontal="center" vertical="center" wrapText="1"/>
    </xf>
    <xf numFmtId="0" fontId="4" fillId="0" borderId="15" xfId="7" applyFont="1" applyBorder="1" applyAlignment="1">
      <alignment horizontal="center" vertical="center" wrapText="1"/>
    </xf>
    <xf numFmtId="0" fontId="4" fillId="0" borderId="52" xfId="7" applyFont="1" applyBorder="1" applyAlignment="1">
      <alignment horizontal="center" vertical="center" wrapText="1"/>
    </xf>
    <xf numFmtId="0" fontId="19" fillId="0" borderId="2" xfId="7" applyFont="1" applyBorder="1" applyAlignment="1">
      <alignment horizontal="center" vertical="center"/>
    </xf>
    <xf numFmtId="0" fontId="19" fillId="0" borderId="20" xfId="7" applyFont="1" applyBorder="1" applyAlignment="1">
      <alignment horizontal="center" vertical="center"/>
    </xf>
    <xf numFmtId="0" fontId="19" fillId="0" borderId="3" xfId="7" applyFont="1" applyBorder="1" applyAlignment="1">
      <alignment horizontal="center" vertical="center"/>
    </xf>
    <xf numFmtId="0" fontId="19" fillId="0" borderId="21" xfId="7" applyFont="1" applyBorder="1" applyAlignment="1">
      <alignment horizontal="center" vertical="center"/>
    </xf>
    <xf numFmtId="0" fontId="19" fillId="0" borderId="22" xfId="7" applyFont="1" applyBorder="1" applyAlignment="1">
      <alignment horizontal="center" vertical="center"/>
    </xf>
    <xf numFmtId="0" fontId="19" fillId="0" borderId="36" xfId="7" applyFont="1" applyBorder="1" applyAlignment="1">
      <alignment horizontal="center" vertical="center"/>
    </xf>
    <xf numFmtId="0" fontId="4" fillId="0" borderId="3" xfId="7" applyFont="1" applyBorder="1" applyAlignment="1">
      <alignment horizontal="center" vertical="center" wrapText="1"/>
    </xf>
    <xf numFmtId="0" fontId="4" fillId="0" borderId="36" xfId="7" applyFont="1" applyBorder="1" applyAlignment="1">
      <alignment horizontal="center" vertical="center" wrapText="1"/>
    </xf>
    <xf numFmtId="0" fontId="4" fillId="0" borderId="2" xfId="7" applyFont="1" applyBorder="1" applyAlignment="1">
      <alignment horizontal="center" vertical="center" wrapText="1"/>
    </xf>
    <xf numFmtId="0" fontId="4" fillId="0" borderId="21" xfId="7" applyFont="1" applyBorder="1" applyAlignment="1">
      <alignment horizontal="center" vertical="center" wrapText="1"/>
    </xf>
    <xf numFmtId="0" fontId="4" fillId="0" borderId="20" xfId="7" applyFont="1" applyBorder="1" applyAlignment="1">
      <alignment horizontal="center" vertical="center" wrapText="1"/>
    </xf>
    <xf numFmtId="0" fontId="4" fillId="0" borderId="49" xfId="7" applyFont="1" applyBorder="1" applyAlignment="1">
      <alignment horizontal="center" vertical="center" wrapText="1"/>
    </xf>
    <xf numFmtId="0" fontId="4" fillId="0" borderId="54" xfId="7" applyFont="1" applyBorder="1" applyAlignment="1">
      <alignment horizontal="center" vertical="center" wrapText="1"/>
    </xf>
    <xf numFmtId="0" fontId="2" fillId="0" borderId="0" xfId="1" applyAlignment="1">
      <alignment vertical="justify" wrapText="1"/>
    </xf>
    <xf numFmtId="0" fontId="0" fillId="0" borderId="0" xfId="0" applyAlignment="1">
      <alignment vertical="justify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1" xfId="1" applyFont="1" applyFill="1" applyBorder="1" applyAlignment="1">
      <alignment horizontal="center" vertical="center" wrapText="1"/>
    </xf>
    <xf numFmtId="0" fontId="2" fillId="0" borderId="9" xfId="1" applyFill="1" applyBorder="1" applyAlignment="1">
      <alignment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justify" wrapText="1"/>
    </xf>
    <xf numFmtId="0" fontId="6" fillId="0" borderId="7" xfId="1" applyFont="1" applyFill="1" applyBorder="1" applyAlignment="1">
      <alignment horizontal="center" vertical="justify" wrapText="1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2" fontId="12" fillId="0" borderId="8" xfId="0" applyNumberFormat="1" applyFont="1" applyBorder="1" applyAlignment="1">
      <alignment horizontal="center" wrapText="1"/>
    </xf>
    <xf numFmtId="2" fontId="12" fillId="0" borderId="7" xfId="0" applyNumberFormat="1" applyFont="1" applyBorder="1" applyAlignment="1">
      <alignment horizont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0" fillId="0" borderId="13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2" fillId="0" borderId="0" xfId="0" applyFont="1" applyBorder="1" applyAlignment="1">
      <alignment horizontal="center"/>
    </xf>
    <xf numFmtId="4" fontId="12" fillId="0" borderId="0" xfId="0" applyNumberFormat="1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4" fontId="12" fillId="0" borderId="2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wrapText="1"/>
    </xf>
    <xf numFmtId="0" fontId="12" fillId="0" borderId="20" xfId="0" applyFont="1" applyFill="1" applyBorder="1" applyAlignment="1">
      <alignment horizontal="center" wrapText="1"/>
    </xf>
    <xf numFmtId="0" fontId="12" fillId="0" borderId="19" xfId="0" applyFont="1" applyFill="1" applyBorder="1" applyAlignment="1">
      <alignment horizontal="center" vertical="center" wrapText="1"/>
    </xf>
    <xf numFmtId="9" fontId="12" fillId="0" borderId="12" xfId="0" applyNumberFormat="1" applyFont="1" applyBorder="1" applyAlignment="1">
      <alignment horizontal="center" vertical="center" wrapText="1"/>
    </xf>
    <xf numFmtId="9" fontId="12" fillId="0" borderId="27" xfId="0" applyNumberFormat="1" applyFont="1" applyBorder="1" applyAlignment="1">
      <alignment horizontal="center" vertical="center" wrapText="1"/>
    </xf>
    <xf numFmtId="9" fontId="12" fillId="0" borderId="12" xfId="0" applyNumberFormat="1" applyFont="1" applyFill="1" applyBorder="1" applyAlignment="1">
      <alignment horizontal="center" vertical="center" wrapText="1"/>
    </xf>
    <xf numFmtId="9" fontId="12" fillId="0" borderId="27" xfId="0" applyNumberFormat="1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0" borderId="46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20" fillId="0" borderId="0" xfId="0" applyFont="1" applyAlignment="1">
      <alignment horizontal="center"/>
    </xf>
  </cellXfs>
  <cellStyles count="8">
    <cellStyle name="Millares 2" xfId="3"/>
    <cellStyle name="Moneda" xfId="6" builtinId="4"/>
    <cellStyle name="Moneda 2" xfId="4"/>
    <cellStyle name="Normal" xfId="0" builtinId="0"/>
    <cellStyle name="Normal 2" xfId="5"/>
    <cellStyle name="Normal 3" xfId="2"/>
    <cellStyle name="Normal 4" xfId="1"/>
    <cellStyle name="Normal 5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82550</xdr:rowOff>
    </xdr:from>
    <xdr:to>
      <xdr:col>2</xdr:col>
      <xdr:colOff>673100</xdr:colOff>
      <xdr:row>2</xdr:row>
      <xdr:rowOff>111363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82550"/>
          <a:ext cx="2759075" cy="390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uben\Downloads\ESTIMACION%20DE%20PARTICIPACIONES%202015%20PO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5\fondo%20de%20fomento%20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5\ISAN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5\CALCULO%20DEL%20COEFICIENTE%20FGP_2013-2014%20%20FEBR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22.5"/>
      <sheetName val="F.G.P."/>
      <sheetName val="F.F.M.70%"/>
      <sheetName val="F.F.M.30%"/>
      <sheetName val="F.F.M.CONC"/>
      <sheetName val="IEPS"/>
      <sheetName val="IEPSGAS"/>
      <sheetName val="FOFIE"/>
      <sheetName val="F.C"/>
      <sheetName val="ISANYFCISAN"/>
      <sheetName val="TENENCIAESTATAL"/>
      <sheetName val="CONCENTRADO"/>
      <sheetName val="CONCENTRADOBRUTO"/>
    </sheetNames>
    <sheetDataSet>
      <sheetData sheetId="0"/>
      <sheetData sheetId="1">
        <row r="7">
          <cell r="B7">
            <v>4.3120859999999999</v>
          </cell>
        </row>
        <row r="26">
          <cell r="B26">
            <v>4.8019290000000003</v>
          </cell>
        </row>
      </sheetData>
      <sheetData sheetId="2"/>
      <sheetData sheetId="3"/>
      <sheetData sheetId="4"/>
      <sheetData sheetId="5">
        <row r="7">
          <cell r="B7">
            <v>5</v>
          </cell>
        </row>
      </sheetData>
      <sheetData sheetId="6">
        <row r="7">
          <cell r="B7">
            <v>3.3707560000000001</v>
          </cell>
        </row>
        <row r="8">
          <cell r="B8">
            <v>1.4036219999999999</v>
          </cell>
        </row>
        <row r="9">
          <cell r="B9">
            <v>1.031172</v>
          </cell>
        </row>
        <row r="10">
          <cell r="B10">
            <v>11.447687</v>
          </cell>
        </row>
        <row r="11">
          <cell r="B11">
            <v>6.4885130000000002</v>
          </cell>
        </row>
        <row r="12">
          <cell r="B12">
            <v>3.1613519999999999</v>
          </cell>
        </row>
        <row r="13">
          <cell r="B13">
            <v>1.0507120000000001</v>
          </cell>
        </row>
        <row r="14">
          <cell r="B14">
            <v>2.5136889999999998</v>
          </cell>
        </row>
        <row r="15">
          <cell r="B15">
            <v>1.631184</v>
          </cell>
        </row>
        <row r="16">
          <cell r="B16">
            <v>1.2534799999999999</v>
          </cell>
        </row>
        <row r="17">
          <cell r="B17">
            <v>3.1699229999999998</v>
          </cell>
        </row>
        <row r="18">
          <cell r="B18">
            <v>2.1630829999999999</v>
          </cell>
        </row>
        <row r="19">
          <cell r="B19">
            <v>3.9742700000000002</v>
          </cell>
        </row>
        <row r="20">
          <cell r="B20">
            <v>0.69217899999999999</v>
          </cell>
        </row>
        <row r="21">
          <cell r="B21">
            <v>2.0656620000000001</v>
          </cell>
        </row>
        <row r="22">
          <cell r="B22">
            <v>8.5784149999999997</v>
          </cell>
        </row>
        <row r="23">
          <cell r="B23">
            <v>3.664218</v>
          </cell>
        </row>
        <row r="24">
          <cell r="B24">
            <v>35.046669000000001</v>
          </cell>
        </row>
        <row r="25">
          <cell r="B25">
            <v>2.7677960000000001</v>
          </cell>
        </row>
        <row r="26">
          <cell r="B26">
            <v>4.5256179999999997</v>
          </cell>
        </row>
      </sheetData>
      <sheetData sheetId="7">
        <row r="7">
          <cell r="B7">
            <v>0.29983700000000002</v>
          </cell>
        </row>
        <row r="8">
          <cell r="B8">
            <v>4.3291999999999997E-2</v>
          </cell>
        </row>
        <row r="9">
          <cell r="B9">
            <v>3.0501E-2</v>
          </cell>
        </row>
        <row r="10">
          <cell r="B10">
            <v>19.421098000000001</v>
          </cell>
        </row>
        <row r="11">
          <cell r="B11">
            <v>2.4322789999999999</v>
          </cell>
        </row>
        <row r="12">
          <cell r="B12">
            <v>1.9959999999999999E-3</v>
          </cell>
        </row>
        <row r="13">
          <cell r="B13">
            <v>1.232E-3</v>
          </cell>
        </row>
        <row r="14">
          <cell r="B14">
            <v>0.36196400000000001</v>
          </cell>
        </row>
        <row r="15">
          <cell r="B15">
            <v>4.0363000000000003E-2</v>
          </cell>
        </row>
        <row r="16">
          <cell r="B16">
            <v>8.0669999999999995E-3</v>
          </cell>
        </row>
        <row r="17">
          <cell r="B17">
            <v>3.9474000000000002E-2</v>
          </cell>
        </row>
        <row r="18">
          <cell r="B18">
            <v>4.6545000000000003E-2</v>
          </cell>
        </row>
        <row r="19">
          <cell r="B19">
            <v>0.35610900000000001</v>
          </cell>
        </row>
        <row r="20">
          <cell r="B20">
            <v>9.8569999999999994E-3</v>
          </cell>
        </row>
        <row r="21">
          <cell r="B21">
            <v>4.1908000000000001E-2</v>
          </cell>
        </row>
        <row r="22">
          <cell r="B22">
            <v>1.3145640000000001</v>
          </cell>
        </row>
        <row r="23">
          <cell r="B23">
            <v>0.149257</v>
          </cell>
        </row>
        <row r="24">
          <cell r="B24">
            <v>74.178864000000004</v>
          </cell>
        </row>
        <row r="25">
          <cell r="B25">
            <v>9.2938000000000007E-2</v>
          </cell>
        </row>
        <row r="26">
          <cell r="B26">
            <v>1.1298550000000001</v>
          </cell>
        </row>
      </sheetData>
      <sheetData sheetId="8">
        <row r="7">
          <cell r="B7">
            <v>3.3211249999999999</v>
          </cell>
        </row>
        <row r="8">
          <cell r="B8">
            <v>3.291776</v>
          </cell>
        </row>
        <row r="9">
          <cell r="B9">
            <v>3.8651369999999998</v>
          </cell>
        </row>
        <row r="10">
          <cell r="B10">
            <v>8.2965210000000003</v>
          </cell>
        </row>
        <row r="11">
          <cell r="B11">
            <v>5.0415029999999996</v>
          </cell>
        </row>
        <row r="12">
          <cell r="B12">
            <v>3.238235</v>
          </cell>
        </row>
        <row r="13">
          <cell r="B13">
            <v>3.82036</v>
          </cell>
        </row>
        <row r="14">
          <cell r="B14">
            <v>3.049042</v>
          </cell>
        </row>
        <row r="15">
          <cell r="B15">
            <v>3.1289129999999998</v>
          </cell>
        </row>
        <row r="16">
          <cell r="B16">
            <v>3.463276</v>
          </cell>
        </row>
        <row r="17">
          <cell r="B17">
            <v>3.241463</v>
          </cell>
        </row>
        <row r="18">
          <cell r="B18">
            <v>3.0126210000000002</v>
          </cell>
        </row>
        <row r="19">
          <cell r="B19">
            <v>3.5975600000000001</v>
          </cell>
        </row>
        <row r="20">
          <cell r="B20">
            <v>5.1672719999999996</v>
          </cell>
        </row>
        <row r="21">
          <cell r="B21">
            <v>3.0150969999999999</v>
          </cell>
        </row>
        <row r="22">
          <cell r="B22">
            <v>6.3827340000000001</v>
          </cell>
        </row>
        <row r="23">
          <cell r="B23">
            <v>3.4495339999999999</v>
          </cell>
        </row>
        <row r="24">
          <cell r="B24">
            <v>24.625153999999998</v>
          </cell>
        </row>
        <row r="25">
          <cell r="B25">
            <v>3.108533</v>
          </cell>
        </row>
        <row r="26">
          <cell r="B26">
            <v>3.884144</v>
          </cell>
        </row>
      </sheetData>
      <sheetData sheetId="9">
        <row r="7">
          <cell r="B7">
            <v>4.2072289999999999</v>
          </cell>
        </row>
      </sheetData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22.5 poe"/>
      <sheetName val="X22.55dof"/>
      <sheetName val="F.F.M.70%"/>
      <sheetName val="F.F.M.30%"/>
      <sheetName val="F.F.M2015 CONCENTRADO"/>
      <sheetName val="F.F.M CON FACTORES 2014."/>
      <sheetName val="estimacion"/>
      <sheetName val="PORCENTAJE"/>
      <sheetName val="PORCENTAJEISAN CONCENTRADO"/>
    </sheetNames>
    <sheetDataSet>
      <sheetData sheetId="0"/>
      <sheetData sheetId="1"/>
      <sheetData sheetId="2"/>
      <sheetData sheetId="3"/>
      <sheetData sheetId="4">
        <row r="7">
          <cell r="O7">
            <v>33213950.909822907</v>
          </cell>
        </row>
      </sheetData>
      <sheetData sheetId="5"/>
      <sheetData sheetId="6"/>
      <sheetData sheetId="7"/>
      <sheetData sheetId="8">
        <row r="9">
          <cell r="O9">
            <v>10065</v>
          </cell>
        </row>
        <row r="10">
          <cell r="O10">
            <v>443</v>
          </cell>
        </row>
        <row r="11">
          <cell r="O11">
            <v>47</v>
          </cell>
        </row>
        <row r="12">
          <cell r="O12">
            <v>67655</v>
          </cell>
        </row>
        <row r="13">
          <cell r="O13">
            <v>9434</v>
          </cell>
        </row>
        <row r="14">
          <cell r="O14">
            <v>4356</v>
          </cell>
        </row>
        <row r="15">
          <cell r="O15">
            <v>0</v>
          </cell>
        </row>
        <row r="16">
          <cell r="O16">
            <v>0</v>
          </cell>
        </row>
        <row r="17">
          <cell r="O17">
            <v>0</v>
          </cell>
        </row>
        <row r="18">
          <cell r="O18">
            <v>0</v>
          </cell>
        </row>
        <row r="19">
          <cell r="O19">
            <v>561</v>
          </cell>
        </row>
        <row r="20">
          <cell r="O20">
            <v>55</v>
          </cell>
        </row>
        <row r="21">
          <cell r="O21">
            <v>1875</v>
          </cell>
        </row>
        <row r="22">
          <cell r="O22">
            <v>911</v>
          </cell>
        </row>
        <row r="23">
          <cell r="O23">
            <v>54</v>
          </cell>
        </row>
        <row r="24">
          <cell r="O24">
            <v>9917</v>
          </cell>
        </row>
        <row r="25">
          <cell r="O25">
            <v>7099</v>
          </cell>
        </row>
        <row r="26">
          <cell r="O26">
            <v>365805</v>
          </cell>
        </row>
        <row r="27">
          <cell r="O27">
            <v>1729</v>
          </cell>
        </row>
        <row r="28">
          <cell r="O28">
            <v>12222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ANYFCISAN CONCENTRADO"/>
      <sheetName val="FCISAN "/>
      <sheetName val="ISAN"/>
      <sheetName val="Hoja1"/>
      <sheetName val="Hoja2"/>
      <sheetName val="Hoja3"/>
    </sheetNames>
    <sheetDataSet>
      <sheetData sheetId="0">
        <row r="7">
          <cell r="B7">
            <v>4.3120859999999999</v>
          </cell>
        </row>
        <row r="8">
          <cell r="B8">
            <v>2.9635889999999998</v>
          </cell>
        </row>
        <row r="9">
          <cell r="B9">
            <v>2.6503190000000001</v>
          </cell>
        </row>
        <row r="10">
          <cell r="B10">
            <v>8.4853830000000006</v>
          </cell>
        </row>
        <row r="11">
          <cell r="B11">
            <v>5.62913</v>
          </cell>
        </row>
        <row r="12">
          <cell r="B12">
            <v>3.8142420000000001</v>
          </cell>
        </row>
        <row r="13">
          <cell r="B13">
            <v>2.6617039999999998</v>
          </cell>
        </row>
        <row r="14">
          <cell r="B14">
            <v>4.1722080000000004</v>
          </cell>
        </row>
        <row r="15">
          <cell r="B15">
            <v>3.309904</v>
          </cell>
        </row>
        <row r="16">
          <cell r="B16">
            <v>2.8896470000000001</v>
          </cell>
        </row>
        <row r="17">
          <cell r="B17">
            <v>3.618474</v>
          </cell>
        </row>
        <row r="18">
          <cell r="B18">
            <v>3.3911579999999999</v>
          </cell>
        </row>
        <row r="19">
          <cell r="B19">
            <v>4.22668</v>
          </cell>
        </row>
        <row r="20">
          <cell r="B20">
            <v>2.4671799999999999</v>
          </cell>
        </row>
        <row r="21">
          <cell r="B21">
            <v>3.1368070000000001</v>
          </cell>
        </row>
        <row r="22">
          <cell r="B22">
            <v>6.9649960000000002</v>
          </cell>
        </row>
        <row r="23">
          <cell r="B23">
            <v>4.07315</v>
          </cell>
        </row>
        <row r="24">
          <cell r="B24">
            <v>22.834076</v>
          </cell>
        </row>
        <row r="25">
          <cell r="B25">
            <v>3.5973389999999998</v>
          </cell>
        </row>
        <row r="26">
          <cell r="B26">
            <v>4.8019280000000002</v>
          </cell>
        </row>
      </sheetData>
      <sheetData sheetId="1">
        <row r="7">
          <cell r="O7">
            <v>84768.142227047996</v>
          </cell>
        </row>
      </sheetData>
      <sheetData sheetId="2">
        <row r="7">
          <cell r="O7">
            <v>157786.695272952</v>
          </cell>
        </row>
      </sheetData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FGP 60%"/>
      <sheetName val="FGP 30%"/>
      <sheetName val="FGP 10%"/>
      <sheetName val="CENSO"/>
      <sheetName val="FGP total"/>
      <sheetName val="FFM"/>
      <sheetName val="FFM factor 2014"/>
      <sheetName val="FOFIR"/>
      <sheetName val="FOCO"/>
      <sheetName val="FOCOmodificado"/>
      <sheetName val="FOCO70 y 30"/>
      <sheetName val="IEPS TyA (2)"/>
      <sheetName val="IEPS TyA"/>
      <sheetName val="IEPS GyD"/>
      <sheetName val="ISAN"/>
      <sheetName val="ISAN modificado"/>
      <sheetName val="ISAN  ok"/>
      <sheetName val="FOCO isan"/>
    </sheetNames>
    <sheetDataSet>
      <sheetData sheetId="0">
        <row r="13">
          <cell r="I13">
            <v>976528016.10000002</v>
          </cell>
        </row>
        <row r="18">
          <cell r="K18">
            <v>4921983.9000000004</v>
          </cell>
        </row>
        <row r="23">
          <cell r="K23">
            <v>432473544</v>
          </cell>
        </row>
        <row r="30">
          <cell r="K30">
            <v>429434000</v>
          </cell>
        </row>
        <row r="34">
          <cell r="K34">
            <v>195909000</v>
          </cell>
        </row>
        <row r="35">
          <cell r="L35">
            <v>7445475</v>
          </cell>
        </row>
        <row r="40">
          <cell r="K40">
            <v>35689000</v>
          </cell>
          <cell r="L40">
            <v>8030025</v>
          </cell>
        </row>
        <row r="49">
          <cell r="K49">
            <v>91600000</v>
          </cell>
        </row>
        <row r="50">
          <cell r="K50">
            <v>10400000</v>
          </cell>
          <cell r="L50">
            <v>2340000</v>
          </cell>
        </row>
        <row r="54">
          <cell r="K54">
            <v>172770000</v>
          </cell>
        </row>
        <row r="55">
          <cell r="K55">
            <v>30230000</v>
          </cell>
        </row>
        <row r="58">
          <cell r="K58">
            <v>25000000</v>
          </cell>
        </row>
        <row r="74">
          <cell r="Q74">
            <v>8751304.8200000003</v>
          </cell>
        </row>
        <row r="75">
          <cell r="Q75">
            <v>3034371</v>
          </cell>
        </row>
        <row r="76">
          <cell r="Q76">
            <v>2910047.65</v>
          </cell>
        </row>
        <row r="77">
          <cell r="Q77">
            <v>166905915.52000001</v>
          </cell>
        </row>
        <row r="78">
          <cell r="Q78">
            <v>36879412.078357153</v>
          </cell>
        </row>
        <row r="79">
          <cell r="Q79">
            <v>62111</v>
          </cell>
        </row>
        <row r="80">
          <cell r="Q80">
            <v>115396.96</v>
          </cell>
        </row>
        <row r="81">
          <cell r="Q81">
            <v>14166729.879999999</v>
          </cell>
        </row>
        <row r="82">
          <cell r="Q82">
            <v>2434416.73</v>
          </cell>
        </row>
        <row r="83">
          <cell r="Q83">
            <v>633120</v>
          </cell>
        </row>
        <row r="84">
          <cell r="Q84">
            <v>1225122</v>
          </cell>
        </row>
        <row r="85">
          <cell r="Q85">
            <v>2116976.2000000002</v>
          </cell>
        </row>
        <row r="86">
          <cell r="Q86">
            <v>8815387</v>
          </cell>
        </row>
        <row r="87">
          <cell r="Q87">
            <v>1401033.5699999998</v>
          </cell>
        </row>
        <row r="88">
          <cell r="Q88">
            <v>1995973</v>
          </cell>
        </row>
        <row r="89">
          <cell r="Q89">
            <v>15076147.059999999</v>
          </cell>
        </row>
        <row r="90">
          <cell r="Q90">
            <v>4007454</v>
          </cell>
        </row>
        <row r="91">
          <cell r="Q91">
            <v>208232791.31999999</v>
          </cell>
        </row>
        <row r="92">
          <cell r="Q92">
            <v>3303489.1799999997</v>
          </cell>
        </row>
        <row r="93">
          <cell r="Q93">
            <v>24561827.27</v>
          </cell>
        </row>
      </sheetData>
      <sheetData sheetId="1"/>
      <sheetData sheetId="2">
        <row r="56">
          <cell r="K56">
            <v>506629026.23835719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9">
          <cell r="D9">
            <v>2891598.5475000003</v>
          </cell>
        </row>
        <row r="10">
          <cell r="D10">
            <v>1237088.0925</v>
          </cell>
        </row>
        <row r="11">
          <cell r="D11">
            <v>1001813.67</v>
          </cell>
        </row>
        <row r="12">
          <cell r="D12">
            <v>5798376.0899999999</v>
          </cell>
        </row>
        <row r="13">
          <cell r="D13">
            <v>4705488.45</v>
          </cell>
        </row>
        <row r="14">
          <cell r="D14">
            <v>5487206.6924999999</v>
          </cell>
        </row>
        <row r="15">
          <cell r="D15">
            <v>1517899.5</v>
          </cell>
        </row>
        <row r="16">
          <cell r="D16">
            <v>2026395.8324999998</v>
          </cell>
        </row>
        <row r="17">
          <cell r="D17">
            <v>1745584.425</v>
          </cell>
        </row>
        <row r="18">
          <cell r="D18">
            <v>1753173.9224999999</v>
          </cell>
        </row>
        <row r="19">
          <cell r="D19">
            <v>3832696.2375000003</v>
          </cell>
        </row>
        <row r="20">
          <cell r="D20">
            <v>1958090.3550000002</v>
          </cell>
        </row>
        <row r="21">
          <cell r="D21">
            <v>2572839.6525000003</v>
          </cell>
        </row>
        <row r="22">
          <cell r="D22">
            <v>622338.79499999993</v>
          </cell>
        </row>
        <row r="23">
          <cell r="D23">
            <v>1722815.9325000001</v>
          </cell>
        </row>
        <row r="24">
          <cell r="D24">
            <v>6519378.352500001</v>
          </cell>
        </row>
        <row r="25">
          <cell r="D25">
            <v>3453221.3625000003</v>
          </cell>
        </row>
        <row r="26">
          <cell r="D26">
            <v>22024721.745000001</v>
          </cell>
        </row>
        <row r="27">
          <cell r="D27">
            <v>2071932.8175000001</v>
          </cell>
        </row>
        <row r="28">
          <cell r="D28">
            <v>2952314.5275000008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0"/>
  <sheetViews>
    <sheetView tabSelected="1" topLeftCell="A10" zoomScaleNormal="100" workbookViewId="0">
      <selection activeCell="A3" sqref="A3"/>
    </sheetView>
  </sheetViews>
  <sheetFormatPr baseColWidth="10" defaultRowHeight="12.75" x14ac:dyDescent="0.2"/>
  <cols>
    <col min="1" max="1" width="15.140625" style="292" customWidth="1"/>
    <col min="2" max="2" width="13.7109375" style="292" customWidth="1"/>
    <col min="3" max="3" width="10.7109375" style="292" customWidth="1"/>
    <col min="4" max="4" width="13.7109375" style="292" customWidth="1"/>
    <col min="5" max="5" width="10.7109375" style="302" customWidth="1"/>
    <col min="6" max="6" width="13.7109375" style="292" customWidth="1"/>
    <col min="7" max="7" width="10.7109375" style="302" customWidth="1"/>
    <col min="8" max="8" width="13.7109375" style="292" customWidth="1"/>
    <col min="9" max="9" width="10.7109375" style="302" customWidth="1"/>
    <col min="10" max="10" width="13.7109375" style="292" customWidth="1"/>
    <col min="11" max="11" width="10.7109375" style="292" customWidth="1"/>
    <col min="12" max="12" width="13.7109375" style="292" customWidth="1"/>
    <col min="13" max="13" width="10.7109375" style="292" customWidth="1"/>
    <col min="14" max="14" width="13.7109375" style="292" customWidth="1"/>
    <col min="15" max="15" width="10.7109375" style="292" customWidth="1"/>
    <col min="16" max="16" width="13.7109375" style="292" customWidth="1"/>
    <col min="17" max="17" width="10.7109375" style="292" customWidth="1"/>
    <col min="18" max="18" width="12.42578125" style="292" customWidth="1"/>
    <col min="19" max="264" width="11.42578125" style="292"/>
    <col min="265" max="265" width="15.140625" style="292" customWidth="1"/>
    <col min="266" max="273" width="15.85546875" style="292" customWidth="1"/>
    <col min="274" max="274" width="12.42578125" style="292" customWidth="1"/>
    <col min="275" max="520" width="11.42578125" style="292"/>
    <col min="521" max="521" width="15.140625" style="292" customWidth="1"/>
    <col min="522" max="529" width="15.85546875" style="292" customWidth="1"/>
    <col min="530" max="530" width="12.42578125" style="292" customWidth="1"/>
    <col min="531" max="776" width="11.42578125" style="292"/>
    <col min="777" max="777" width="15.140625" style="292" customWidth="1"/>
    <col min="778" max="785" width="15.85546875" style="292" customWidth="1"/>
    <col min="786" max="786" width="12.42578125" style="292" customWidth="1"/>
    <col min="787" max="1032" width="11.42578125" style="292"/>
    <col min="1033" max="1033" width="15.140625" style="292" customWidth="1"/>
    <col min="1034" max="1041" width="15.85546875" style="292" customWidth="1"/>
    <col min="1042" max="1042" width="12.42578125" style="292" customWidth="1"/>
    <col min="1043" max="1288" width="11.42578125" style="292"/>
    <col min="1289" max="1289" width="15.140625" style="292" customWidth="1"/>
    <col min="1290" max="1297" width="15.85546875" style="292" customWidth="1"/>
    <col min="1298" max="1298" width="12.42578125" style="292" customWidth="1"/>
    <col min="1299" max="1544" width="11.42578125" style="292"/>
    <col min="1545" max="1545" width="15.140625" style="292" customWidth="1"/>
    <col min="1546" max="1553" width="15.85546875" style="292" customWidth="1"/>
    <col min="1554" max="1554" width="12.42578125" style="292" customWidth="1"/>
    <col min="1555" max="1800" width="11.42578125" style="292"/>
    <col min="1801" max="1801" width="15.140625" style="292" customWidth="1"/>
    <col min="1802" max="1809" width="15.85546875" style="292" customWidth="1"/>
    <col min="1810" max="1810" width="12.42578125" style="292" customWidth="1"/>
    <col min="1811" max="2056" width="11.42578125" style="292"/>
    <col min="2057" max="2057" width="15.140625" style="292" customWidth="1"/>
    <col min="2058" max="2065" width="15.85546875" style="292" customWidth="1"/>
    <col min="2066" max="2066" width="12.42578125" style="292" customWidth="1"/>
    <col min="2067" max="2312" width="11.42578125" style="292"/>
    <col min="2313" max="2313" width="15.140625" style="292" customWidth="1"/>
    <col min="2314" max="2321" width="15.85546875" style="292" customWidth="1"/>
    <col min="2322" max="2322" width="12.42578125" style="292" customWidth="1"/>
    <col min="2323" max="2568" width="11.42578125" style="292"/>
    <col min="2569" max="2569" width="15.140625" style="292" customWidth="1"/>
    <col min="2570" max="2577" width="15.85546875" style="292" customWidth="1"/>
    <col min="2578" max="2578" width="12.42578125" style="292" customWidth="1"/>
    <col min="2579" max="2824" width="11.42578125" style="292"/>
    <col min="2825" max="2825" width="15.140625" style="292" customWidth="1"/>
    <col min="2826" max="2833" width="15.85546875" style="292" customWidth="1"/>
    <col min="2834" max="2834" width="12.42578125" style="292" customWidth="1"/>
    <col min="2835" max="3080" width="11.42578125" style="292"/>
    <col min="3081" max="3081" width="15.140625" style="292" customWidth="1"/>
    <col min="3082" max="3089" width="15.85546875" style="292" customWidth="1"/>
    <col min="3090" max="3090" width="12.42578125" style="292" customWidth="1"/>
    <col min="3091" max="3336" width="11.42578125" style="292"/>
    <col min="3337" max="3337" width="15.140625" style="292" customWidth="1"/>
    <col min="3338" max="3345" width="15.85546875" style="292" customWidth="1"/>
    <col min="3346" max="3346" width="12.42578125" style="292" customWidth="1"/>
    <col min="3347" max="3592" width="11.42578125" style="292"/>
    <col min="3593" max="3593" width="15.140625" style="292" customWidth="1"/>
    <col min="3594" max="3601" width="15.85546875" style="292" customWidth="1"/>
    <col min="3602" max="3602" width="12.42578125" style="292" customWidth="1"/>
    <col min="3603" max="3848" width="11.42578125" style="292"/>
    <col min="3849" max="3849" width="15.140625" style="292" customWidth="1"/>
    <col min="3850" max="3857" width="15.85546875" style="292" customWidth="1"/>
    <col min="3858" max="3858" width="12.42578125" style="292" customWidth="1"/>
    <col min="3859" max="4104" width="11.42578125" style="292"/>
    <col min="4105" max="4105" width="15.140625" style="292" customWidth="1"/>
    <col min="4106" max="4113" width="15.85546875" style="292" customWidth="1"/>
    <col min="4114" max="4114" width="12.42578125" style="292" customWidth="1"/>
    <col min="4115" max="4360" width="11.42578125" style="292"/>
    <col min="4361" max="4361" width="15.140625" style="292" customWidth="1"/>
    <col min="4362" max="4369" width="15.85546875" style="292" customWidth="1"/>
    <col min="4370" max="4370" width="12.42578125" style="292" customWidth="1"/>
    <col min="4371" max="4616" width="11.42578125" style="292"/>
    <col min="4617" max="4617" width="15.140625" style="292" customWidth="1"/>
    <col min="4618" max="4625" width="15.85546875" style="292" customWidth="1"/>
    <col min="4626" max="4626" width="12.42578125" style="292" customWidth="1"/>
    <col min="4627" max="4872" width="11.42578125" style="292"/>
    <col min="4873" max="4873" width="15.140625" style="292" customWidth="1"/>
    <col min="4874" max="4881" width="15.85546875" style="292" customWidth="1"/>
    <col min="4882" max="4882" width="12.42578125" style="292" customWidth="1"/>
    <col min="4883" max="5128" width="11.42578125" style="292"/>
    <col min="5129" max="5129" width="15.140625" style="292" customWidth="1"/>
    <col min="5130" max="5137" width="15.85546875" style="292" customWidth="1"/>
    <col min="5138" max="5138" width="12.42578125" style="292" customWidth="1"/>
    <col min="5139" max="5384" width="11.42578125" style="292"/>
    <col min="5385" max="5385" width="15.140625" style="292" customWidth="1"/>
    <col min="5386" max="5393" width="15.85546875" style="292" customWidth="1"/>
    <col min="5394" max="5394" width="12.42578125" style="292" customWidth="1"/>
    <col min="5395" max="5640" width="11.42578125" style="292"/>
    <col min="5641" max="5641" width="15.140625" style="292" customWidth="1"/>
    <col min="5642" max="5649" width="15.85546875" style="292" customWidth="1"/>
    <col min="5650" max="5650" width="12.42578125" style="292" customWidth="1"/>
    <col min="5651" max="5896" width="11.42578125" style="292"/>
    <col min="5897" max="5897" width="15.140625" style="292" customWidth="1"/>
    <col min="5898" max="5905" width="15.85546875" style="292" customWidth="1"/>
    <col min="5906" max="5906" width="12.42578125" style="292" customWidth="1"/>
    <col min="5907" max="6152" width="11.42578125" style="292"/>
    <col min="6153" max="6153" width="15.140625" style="292" customWidth="1"/>
    <col min="6154" max="6161" width="15.85546875" style="292" customWidth="1"/>
    <col min="6162" max="6162" width="12.42578125" style="292" customWidth="1"/>
    <col min="6163" max="6408" width="11.42578125" style="292"/>
    <col min="6409" max="6409" width="15.140625" style="292" customWidth="1"/>
    <col min="6410" max="6417" width="15.85546875" style="292" customWidth="1"/>
    <col min="6418" max="6418" width="12.42578125" style="292" customWidth="1"/>
    <col min="6419" max="6664" width="11.42578125" style="292"/>
    <col min="6665" max="6665" width="15.140625" style="292" customWidth="1"/>
    <col min="6666" max="6673" width="15.85546875" style="292" customWidth="1"/>
    <col min="6674" max="6674" width="12.42578125" style="292" customWidth="1"/>
    <col min="6675" max="6920" width="11.42578125" style="292"/>
    <col min="6921" max="6921" width="15.140625" style="292" customWidth="1"/>
    <col min="6922" max="6929" width="15.85546875" style="292" customWidth="1"/>
    <col min="6930" max="6930" width="12.42578125" style="292" customWidth="1"/>
    <col min="6931" max="7176" width="11.42578125" style="292"/>
    <col min="7177" max="7177" width="15.140625" style="292" customWidth="1"/>
    <col min="7178" max="7185" width="15.85546875" style="292" customWidth="1"/>
    <col min="7186" max="7186" width="12.42578125" style="292" customWidth="1"/>
    <col min="7187" max="7432" width="11.42578125" style="292"/>
    <col min="7433" max="7433" width="15.140625" style="292" customWidth="1"/>
    <col min="7434" max="7441" width="15.85546875" style="292" customWidth="1"/>
    <col min="7442" max="7442" width="12.42578125" style="292" customWidth="1"/>
    <col min="7443" max="7688" width="11.42578125" style="292"/>
    <col min="7689" max="7689" width="15.140625" style="292" customWidth="1"/>
    <col min="7690" max="7697" width="15.85546875" style="292" customWidth="1"/>
    <col min="7698" max="7698" width="12.42578125" style="292" customWidth="1"/>
    <col min="7699" max="7944" width="11.42578125" style="292"/>
    <col min="7945" max="7945" width="15.140625" style="292" customWidth="1"/>
    <col min="7946" max="7953" width="15.85546875" style="292" customWidth="1"/>
    <col min="7954" max="7954" width="12.42578125" style="292" customWidth="1"/>
    <col min="7955" max="8200" width="11.42578125" style="292"/>
    <col min="8201" max="8201" width="15.140625" style="292" customWidth="1"/>
    <col min="8202" max="8209" width="15.85546875" style="292" customWidth="1"/>
    <col min="8210" max="8210" width="12.42578125" style="292" customWidth="1"/>
    <col min="8211" max="8456" width="11.42578125" style="292"/>
    <col min="8457" max="8457" width="15.140625" style="292" customWidth="1"/>
    <col min="8458" max="8465" width="15.85546875" style="292" customWidth="1"/>
    <col min="8466" max="8466" width="12.42578125" style="292" customWidth="1"/>
    <col min="8467" max="8712" width="11.42578125" style="292"/>
    <col min="8713" max="8713" width="15.140625" style="292" customWidth="1"/>
    <col min="8714" max="8721" width="15.85546875" style="292" customWidth="1"/>
    <col min="8722" max="8722" width="12.42578125" style="292" customWidth="1"/>
    <col min="8723" max="8968" width="11.42578125" style="292"/>
    <col min="8969" max="8969" width="15.140625" style="292" customWidth="1"/>
    <col min="8970" max="8977" width="15.85546875" style="292" customWidth="1"/>
    <col min="8978" max="8978" width="12.42578125" style="292" customWidth="1"/>
    <col min="8979" max="9224" width="11.42578125" style="292"/>
    <col min="9225" max="9225" width="15.140625" style="292" customWidth="1"/>
    <col min="9226" max="9233" width="15.85546875" style="292" customWidth="1"/>
    <col min="9234" max="9234" width="12.42578125" style="292" customWidth="1"/>
    <col min="9235" max="9480" width="11.42578125" style="292"/>
    <col min="9481" max="9481" width="15.140625" style="292" customWidth="1"/>
    <col min="9482" max="9489" width="15.85546875" style="292" customWidth="1"/>
    <col min="9490" max="9490" width="12.42578125" style="292" customWidth="1"/>
    <col min="9491" max="9736" width="11.42578125" style="292"/>
    <col min="9737" max="9737" width="15.140625" style="292" customWidth="1"/>
    <col min="9738" max="9745" width="15.85546875" style="292" customWidth="1"/>
    <col min="9746" max="9746" width="12.42578125" style="292" customWidth="1"/>
    <col min="9747" max="9992" width="11.42578125" style="292"/>
    <col min="9993" max="9993" width="15.140625" style="292" customWidth="1"/>
    <col min="9994" max="10001" width="15.85546875" style="292" customWidth="1"/>
    <col min="10002" max="10002" width="12.42578125" style="292" customWidth="1"/>
    <col min="10003" max="10248" width="11.42578125" style="292"/>
    <col min="10249" max="10249" width="15.140625" style="292" customWidth="1"/>
    <col min="10250" max="10257" width="15.85546875" style="292" customWidth="1"/>
    <col min="10258" max="10258" width="12.42578125" style="292" customWidth="1"/>
    <col min="10259" max="10504" width="11.42578125" style="292"/>
    <col min="10505" max="10505" width="15.140625" style="292" customWidth="1"/>
    <col min="10506" max="10513" width="15.85546875" style="292" customWidth="1"/>
    <col min="10514" max="10514" width="12.42578125" style="292" customWidth="1"/>
    <col min="10515" max="10760" width="11.42578125" style="292"/>
    <col min="10761" max="10761" width="15.140625" style="292" customWidth="1"/>
    <col min="10762" max="10769" width="15.85546875" style="292" customWidth="1"/>
    <col min="10770" max="10770" width="12.42578125" style="292" customWidth="1"/>
    <col min="10771" max="11016" width="11.42578125" style="292"/>
    <col min="11017" max="11017" width="15.140625" style="292" customWidth="1"/>
    <col min="11018" max="11025" width="15.85546875" style="292" customWidth="1"/>
    <col min="11026" max="11026" width="12.42578125" style="292" customWidth="1"/>
    <col min="11027" max="11272" width="11.42578125" style="292"/>
    <col min="11273" max="11273" width="15.140625" style="292" customWidth="1"/>
    <col min="11274" max="11281" width="15.85546875" style="292" customWidth="1"/>
    <col min="11282" max="11282" width="12.42578125" style="292" customWidth="1"/>
    <col min="11283" max="11528" width="11.42578125" style="292"/>
    <col min="11529" max="11529" width="15.140625" style="292" customWidth="1"/>
    <col min="11530" max="11537" width="15.85546875" style="292" customWidth="1"/>
    <col min="11538" max="11538" width="12.42578125" style="292" customWidth="1"/>
    <col min="11539" max="11784" width="11.42578125" style="292"/>
    <col min="11785" max="11785" width="15.140625" style="292" customWidth="1"/>
    <col min="11786" max="11793" width="15.85546875" style="292" customWidth="1"/>
    <col min="11794" max="11794" width="12.42578125" style="292" customWidth="1"/>
    <col min="11795" max="12040" width="11.42578125" style="292"/>
    <col min="12041" max="12041" width="15.140625" style="292" customWidth="1"/>
    <col min="12042" max="12049" width="15.85546875" style="292" customWidth="1"/>
    <col min="12050" max="12050" width="12.42578125" style="292" customWidth="1"/>
    <col min="12051" max="12296" width="11.42578125" style="292"/>
    <col min="12297" max="12297" width="15.140625" style="292" customWidth="1"/>
    <col min="12298" max="12305" width="15.85546875" style="292" customWidth="1"/>
    <col min="12306" max="12306" width="12.42578125" style="292" customWidth="1"/>
    <col min="12307" max="12552" width="11.42578125" style="292"/>
    <col min="12553" max="12553" width="15.140625" style="292" customWidth="1"/>
    <col min="12554" max="12561" width="15.85546875" style="292" customWidth="1"/>
    <col min="12562" max="12562" width="12.42578125" style="292" customWidth="1"/>
    <col min="12563" max="12808" width="11.42578125" style="292"/>
    <col min="12809" max="12809" width="15.140625" style="292" customWidth="1"/>
    <col min="12810" max="12817" width="15.85546875" style="292" customWidth="1"/>
    <col min="12818" max="12818" width="12.42578125" style="292" customWidth="1"/>
    <col min="12819" max="13064" width="11.42578125" style="292"/>
    <col min="13065" max="13065" width="15.140625" style="292" customWidth="1"/>
    <col min="13066" max="13073" width="15.85546875" style="292" customWidth="1"/>
    <col min="13074" max="13074" width="12.42578125" style="292" customWidth="1"/>
    <col min="13075" max="13320" width="11.42578125" style="292"/>
    <col min="13321" max="13321" width="15.140625" style="292" customWidth="1"/>
    <col min="13322" max="13329" width="15.85546875" style="292" customWidth="1"/>
    <col min="13330" max="13330" width="12.42578125" style="292" customWidth="1"/>
    <col min="13331" max="13576" width="11.42578125" style="292"/>
    <col min="13577" max="13577" width="15.140625" style="292" customWidth="1"/>
    <col min="13578" max="13585" width="15.85546875" style="292" customWidth="1"/>
    <col min="13586" max="13586" width="12.42578125" style="292" customWidth="1"/>
    <col min="13587" max="13832" width="11.42578125" style="292"/>
    <col min="13833" max="13833" width="15.140625" style="292" customWidth="1"/>
    <col min="13834" max="13841" width="15.85546875" style="292" customWidth="1"/>
    <col min="13842" max="13842" width="12.42578125" style="292" customWidth="1"/>
    <col min="13843" max="14088" width="11.42578125" style="292"/>
    <col min="14089" max="14089" width="15.140625" style="292" customWidth="1"/>
    <col min="14090" max="14097" width="15.85546875" style="292" customWidth="1"/>
    <col min="14098" max="14098" width="12.42578125" style="292" customWidth="1"/>
    <col min="14099" max="14344" width="11.42578125" style="292"/>
    <col min="14345" max="14345" width="15.140625" style="292" customWidth="1"/>
    <col min="14346" max="14353" width="15.85546875" style="292" customWidth="1"/>
    <col min="14354" max="14354" width="12.42578125" style="292" customWidth="1"/>
    <col min="14355" max="14600" width="11.42578125" style="292"/>
    <col min="14601" max="14601" width="15.140625" style="292" customWidth="1"/>
    <col min="14602" max="14609" width="15.85546875" style="292" customWidth="1"/>
    <col min="14610" max="14610" width="12.42578125" style="292" customWidth="1"/>
    <col min="14611" max="14856" width="11.42578125" style="292"/>
    <col min="14857" max="14857" width="15.140625" style="292" customWidth="1"/>
    <col min="14858" max="14865" width="15.85546875" style="292" customWidth="1"/>
    <col min="14866" max="14866" width="12.42578125" style="292" customWidth="1"/>
    <col min="14867" max="15112" width="11.42578125" style="292"/>
    <col min="15113" max="15113" width="15.140625" style="292" customWidth="1"/>
    <col min="15114" max="15121" width="15.85546875" style="292" customWidth="1"/>
    <col min="15122" max="15122" width="12.42578125" style="292" customWidth="1"/>
    <col min="15123" max="15368" width="11.42578125" style="292"/>
    <col min="15369" max="15369" width="15.140625" style="292" customWidth="1"/>
    <col min="15370" max="15377" width="15.85546875" style="292" customWidth="1"/>
    <col min="15378" max="15378" width="12.42578125" style="292" customWidth="1"/>
    <col min="15379" max="15624" width="11.42578125" style="292"/>
    <col min="15625" max="15625" width="15.140625" style="292" customWidth="1"/>
    <col min="15626" max="15633" width="15.85546875" style="292" customWidth="1"/>
    <col min="15634" max="15634" width="12.42578125" style="292" customWidth="1"/>
    <col min="15635" max="15880" width="11.42578125" style="292"/>
    <col min="15881" max="15881" width="15.140625" style="292" customWidth="1"/>
    <col min="15882" max="15889" width="15.85546875" style="292" customWidth="1"/>
    <col min="15890" max="15890" width="12.42578125" style="292" customWidth="1"/>
    <col min="15891" max="16136" width="11.42578125" style="292"/>
    <col min="16137" max="16137" width="15.140625" style="292" customWidth="1"/>
    <col min="16138" max="16145" width="15.85546875" style="292" customWidth="1"/>
    <col min="16146" max="16146" width="12.42578125" style="292" customWidth="1"/>
    <col min="16147" max="16384" width="11.42578125" style="292"/>
  </cols>
  <sheetData>
    <row r="3" spans="1:18" ht="13.5" thickBot="1" x14ac:dyDescent="0.25"/>
    <row r="4" spans="1:18" ht="15.75" customHeight="1" x14ac:dyDescent="0.2">
      <c r="A4" s="329" t="s">
        <v>255</v>
      </c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1"/>
    </row>
    <row r="5" spans="1:18" ht="13.5" customHeight="1" thickBot="1" x14ac:dyDescent="0.25">
      <c r="A5" s="332"/>
      <c r="B5" s="333"/>
      <c r="C5" s="333"/>
      <c r="D5" s="333"/>
      <c r="E5" s="333"/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4"/>
    </row>
    <row r="6" spans="1:18" ht="20.100000000000001" customHeight="1" x14ac:dyDescent="0.2">
      <c r="A6" s="323" t="s">
        <v>196</v>
      </c>
      <c r="B6" s="325" t="s">
        <v>5</v>
      </c>
      <c r="C6" s="326"/>
      <c r="D6" s="325" t="s">
        <v>6</v>
      </c>
      <c r="E6" s="326"/>
      <c r="F6" s="325" t="s">
        <v>7</v>
      </c>
      <c r="G6" s="326"/>
      <c r="H6" s="325" t="s">
        <v>197</v>
      </c>
      <c r="I6" s="326"/>
      <c r="J6" s="325" t="s">
        <v>249</v>
      </c>
      <c r="K6" s="326"/>
      <c r="L6" s="325" t="s">
        <v>250</v>
      </c>
      <c r="M6" s="326"/>
      <c r="N6" s="325" t="s">
        <v>252</v>
      </c>
      <c r="O6" s="335"/>
      <c r="P6" s="337" t="s">
        <v>254</v>
      </c>
      <c r="Q6" s="335"/>
      <c r="R6" s="322"/>
    </row>
    <row r="7" spans="1:18" ht="30.75" customHeight="1" thickBot="1" x14ac:dyDescent="0.25">
      <c r="A7" s="324"/>
      <c r="B7" s="327"/>
      <c r="C7" s="328"/>
      <c r="D7" s="327"/>
      <c r="E7" s="328"/>
      <c r="F7" s="327"/>
      <c r="G7" s="328"/>
      <c r="H7" s="327"/>
      <c r="I7" s="328"/>
      <c r="J7" s="327"/>
      <c r="K7" s="328"/>
      <c r="L7" s="327"/>
      <c r="M7" s="328"/>
      <c r="N7" s="327"/>
      <c r="O7" s="336"/>
      <c r="P7" s="338"/>
      <c r="Q7" s="336"/>
      <c r="R7" s="322"/>
    </row>
    <row r="8" spans="1:18" ht="20.100000000000001" customHeight="1" x14ac:dyDescent="0.2">
      <c r="A8" s="294"/>
      <c r="B8" s="325" t="s">
        <v>219</v>
      </c>
      <c r="C8" s="339"/>
      <c r="D8" s="340" t="s">
        <v>219</v>
      </c>
      <c r="E8" s="341"/>
      <c r="F8" s="325" t="s">
        <v>219</v>
      </c>
      <c r="G8" s="326"/>
      <c r="H8" s="325" t="s">
        <v>219</v>
      </c>
      <c r="I8" s="326"/>
      <c r="J8" s="325" t="s">
        <v>219</v>
      </c>
      <c r="K8" s="326"/>
      <c r="L8" s="325" t="s">
        <v>219</v>
      </c>
      <c r="M8" s="326"/>
      <c r="N8" s="325" t="s">
        <v>219</v>
      </c>
      <c r="O8" s="326"/>
      <c r="P8" s="325" t="s">
        <v>219</v>
      </c>
      <c r="Q8" s="335"/>
      <c r="R8" s="293"/>
    </row>
    <row r="9" spans="1:18" ht="24.95" customHeight="1" x14ac:dyDescent="0.2">
      <c r="A9" s="298" t="s">
        <v>198</v>
      </c>
      <c r="B9" s="300" t="s">
        <v>220</v>
      </c>
      <c r="C9" s="301" t="s">
        <v>232</v>
      </c>
      <c r="D9" s="300" t="s">
        <v>220</v>
      </c>
      <c r="E9" s="297" t="s">
        <v>237</v>
      </c>
      <c r="F9" s="300" t="s">
        <v>220</v>
      </c>
      <c r="G9" s="303" t="s">
        <v>233</v>
      </c>
      <c r="H9" s="300" t="s">
        <v>220</v>
      </c>
      <c r="I9" s="303" t="s">
        <v>241</v>
      </c>
      <c r="J9" s="300" t="s">
        <v>220</v>
      </c>
      <c r="K9" s="305" t="s">
        <v>235</v>
      </c>
      <c r="L9" s="300" t="s">
        <v>220</v>
      </c>
      <c r="M9" s="303" t="s">
        <v>235</v>
      </c>
      <c r="N9" s="300" t="s">
        <v>220</v>
      </c>
      <c r="O9" s="303" t="s">
        <v>235</v>
      </c>
      <c r="P9" s="306" t="s">
        <v>220</v>
      </c>
      <c r="Q9" s="307">
        <v>16</v>
      </c>
    </row>
    <row r="10" spans="1:18" ht="24.95" customHeight="1" x14ac:dyDescent="0.2">
      <c r="A10" s="298" t="s">
        <v>199</v>
      </c>
      <c r="B10" s="300" t="s">
        <v>221</v>
      </c>
      <c r="C10" s="301" t="s">
        <v>233</v>
      </c>
      <c r="D10" s="300" t="s">
        <v>221</v>
      </c>
      <c r="E10" s="297" t="s">
        <v>237</v>
      </c>
      <c r="F10" s="300" t="s">
        <v>221</v>
      </c>
      <c r="G10" s="303" t="s">
        <v>237</v>
      </c>
      <c r="H10" s="300" t="s">
        <v>221</v>
      </c>
      <c r="I10" s="303" t="s">
        <v>241</v>
      </c>
      <c r="J10" s="300" t="s">
        <v>221</v>
      </c>
      <c r="K10" s="305" t="s">
        <v>235</v>
      </c>
      <c r="L10" s="300" t="s">
        <v>221</v>
      </c>
      <c r="M10" s="303" t="s">
        <v>235</v>
      </c>
      <c r="N10" s="300" t="s">
        <v>221</v>
      </c>
      <c r="O10" s="303" t="s">
        <v>235</v>
      </c>
      <c r="P10" s="306" t="s">
        <v>221</v>
      </c>
      <c r="Q10" s="307">
        <v>16</v>
      </c>
    </row>
    <row r="11" spans="1:18" ht="24.95" customHeight="1" x14ac:dyDescent="0.2">
      <c r="A11" s="298" t="s">
        <v>200</v>
      </c>
      <c r="B11" s="300" t="s">
        <v>222</v>
      </c>
      <c r="C11" s="301" t="s">
        <v>234</v>
      </c>
      <c r="D11" s="300" t="s">
        <v>222</v>
      </c>
      <c r="E11" s="297" t="s">
        <v>238</v>
      </c>
      <c r="F11" s="300" t="s">
        <v>222</v>
      </c>
      <c r="G11" s="303" t="s">
        <v>238</v>
      </c>
      <c r="H11" s="300" t="s">
        <v>222</v>
      </c>
      <c r="I11" s="303" t="s">
        <v>242</v>
      </c>
      <c r="J11" s="300" t="s">
        <v>222</v>
      </c>
      <c r="K11" s="305" t="s">
        <v>237</v>
      </c>
      <c r="L11" s="300" t="s">
        <v>222</v>
      </c>
      <c r="M11" s="303" t="s">
        <v>251</v>
      </c>
      <c r="N11" s="300" t="s">
        <v>222</v>
      </c>
      <c r="O11" s="303" t="s">
        <v>234</v>
      </c>
      <c r="P11" s="306" t="s">
        <v>222</v>
      </c>
      <c r="Q11" s="308" t="s">
        <v>243</v>
      </c>
    </row>
    <row r="12" spans="1:18" ht="24.95" customHeight="1" x14ac:dyDescent="0.2">
      <c r="A12" s="298" t="s">
        <v>201</v>
      </c>
      <c r="B12" s="300" t="s">
        <v>223</v>
      </c>
      <c r="C12" s="301" t="s">
        <v>235</v>
      </c>
      <c r="D12" s="300" t="s">
        <v>223</v>
      </c>
      <c r="E12" s="297" t="s">
        <v>239</v>
      </c>
      <c r="F12" s="300" t="s">
        <v>223</v>
      </c>
      <c r="G12" s="303" t="s">
        <v>239</v>
      </c>
      <c r="H12" s="300" t="s">
        <v>223</v>
      </c>
      <c r="I12" s="303" t="s">
        <v>242</v>
      </c>
      <c r="J12" s="300" t="s">
        <v>223</v>
      </c>
      <c r="K12" s="305" t="s">
        <v>233</v>
      </c>
      <c r="L12" s="300" t="s">
        <v>223</v>
      </c>
      <c r="M12" s="303" t="s">
        <v>242</v>
      </c>
      <c r="N12" s="300" t="s">
        <v>223</v>
      </c>
      <c r="O12" s="303" t="s">
        <v>233</v>
      </c>
      <c r="P12" s="306" t="s">
        <v>223</v>
      </c>
      <c r="Q12" s="308" t="s">
        <v>247</v>
      </c>
    </row>
    <row r="13" spans="1:18" ht="24.95" customHeight="1" x14ac:dyDescent="0.2">
      <c r="A13" s="298" t="s">
        <v>202</v>
      </c>
      <c r="B13" s="300" t="s">
        <v>224</v>
      </c>
      <c r="C13" s="301" t="s">
        <v>234</v>
      </c>
      <c r="D13" s="300" t="s">
        <v>224</v>
      </c>
      <c r="E13" s="297" t="s">
        <v>235</v>
      </c>
      <c r="F13" s="300" t="s">
        <v>224</v>
      </c>
      <c r="G13" s="303" t="s">
        <v>235</v>
      </c>
      <c r="H13" s="300" t="s">
        <v>224</v>
      </c>
      <c r="I13" s="303" t="s">
        <v>243</v>
      </c>
      <c r="J13" s="300" t="s">
        <v>224</v>
      </c>
      <c r="K13" s="305" t="s">
        <v>232</v>
      </c>
      <c r="L13" s="300" t="s">
        <v>224</v>
      </c>
      <c r="M13" s="303" t="s">
        <v>242</v>
      </c>
      <c r="N13" s="300" t="s">
        <v>224</v>
      </c>
      <c r="O13" s="303" t="s">
        <v>232</v>
      </c>
      <c r="P13" s="306" t="s">
        <v>224</v>
      </c>
      <c r="Q13" s="308" t="s">
        <v>243</v>
      </c>
    </row>
    <row r="14" spans="1:18" ht="24.95" customHeight="1" x14ac:dyDescent="0.2">
      <c r="A14" s="298" t="s">
        <v>203</v>
      </c>
      <c r="B14" s="300" t="s">
        <v>225</v>
      </c>
      <c r="C14" s="301" t="s">
        <v>232</v>
      </c>
      <c r="D14" s="300" t="s">
        <v>225</v>
      </c>
      <c r="E14" s="297" t="s">
        <v>240</v>
      </c>
      <c r="F14" s="300" t="s">
        <v>225</v>
      </c>
      <c r="G14" s="303" t="s">
        <v>240</v>
      </c>
      <c r="H14" s="300" t="s">
        <v>225</v>
      </c>
      <c r="I14" s="303" t="s">
        <v>244</v>
      </c>
      <c r="J14" s="300" t="s">
        <v>225</v>
      </c>
      <c r="K14" s="305" t="s">
        <v>232</v>
      </c>
      <c r="L14" s="300" t="s">
        <v>225</v>
      </c>
      <c r="M14" s="303" t="s">
        <v>243</v>
      </c>
      <c r="N14" s="300" t="s">
        <v>225</v>
      </c>
      <c r="O14" s="303" t="s">
        <v>232</v>
      </c>
      <c r="P14" s="306" t="s">
        <v>225</v>
      </c>
      <c r="Q14" s="308" t="s">
        <v>243</v>
      </c>
    </row>
    <row r="15" spans="1:18" ht="24.95" customHeight="1" x14ac:dyDescent="0.2">
      <c r="A15" s="298" t="s">
        <v>204</v>
      </c>
      <c r="B15" s="300" t="s">
        <v>226</v>
      </c>
      <c r="C15" s="301" t="s">
        <v>236</v>
      </c>
      <c r="D15" s="300" t="s">
        <v>226</v>
      </c>
      <c r="E15" s="297" t="s">
        <v>240</v>
      </c>
      <c r="F15" s="300" t="s">
        <v>226</v>
      </c>
      <c r="G15" s="303" t="s">
        <v>237</v>
      </c>
      <c r="H15" s="300" t="s">
        <v>226</v>
      </c>
      <c r="I15" s="303" t="s">
        <v>245</v>
      </c>
      <c r="J15" s="300" t="s">
        <v>226</v>
      </c>
      <c r="K15" s="305" t="s">
        <v>232</v>
      </c>
      <c r="L15" s="300" t="s">
        <v>226</v>
      </c>
      <c r="M15" s="303" t="s">
        <v>244</v>
      </c>
      <c r="N15" s="300" t="s">
        <v>226</v>
      </c>
      <c r="O15" s="303" t="s">
        <v>253</v>
      </c>
      <c r="P15" s="306" t="s">
        <v>226</v>
      </c>
      <c r="Q15" s="308" t="s">
        <v>243</v>
      </c>
    </row>
    <row r="16" spans="1:18" ht="24.95" customHeight="1" x14ac:dyDescent="0.2">
      <c r="A16" s="298" t="s">
        <v>205</v>
      </c>
      <c r="B16" s="300" t="s">
        <v>227</v>
      </c>
      <c r="C16" s="301" t="s">
        <v>234</v>
      </c>
      <c r="D16" s="300" t="s">
        <v>227</v>
      </c>
      <c r="E16" s="297" t="s">
        <v>240</v>
      </c>
      <c r="F16" s="300" t="s">
        <v>227</v>
      </c>
      <c r="G16" s="303" t="s">
        <v>233</v>
      </c>
      <c r="H16" s="300" t="s">
        <v>227</v>
      </c>
      <c r="I16" s="303" t="s">
        <v>244</v>
      </c>
      <c r="J16" s="300" t="s">
        <v>227</v>
      </c>
      <c r="K16" s="305" t="s">
        <v>234</v>
      </c>
      <c r="L16" s="300" t="s">
        <v>227</v>
      </c>
      <c r="M16" s="303" t="s">
        <v>245</v>
      </c>
      <c r="N16" s="300" t="s">
        <v>227</v>
      </c>
      <c r="O16" s="303" t="s">
        <v>234</v>
      </c>
      <c r="P16" s="306" t="s">
        <v>227</v>
      </c>
      <c r="Q16" s="308" t="s">
        <v>247</v>
      </c>
    </row>
    <row r="17" spans="1:17" ht="24.95" customHeight="1" x14ac:dyDescent="0.2">
      <c r="A17" s="298" t="s">
        <v>206</v>
      </c>
      <c r="B17" s="300" t="s">
        <v>228</v>
      </c>
      <c r="C17" s="301" t="s">
        <v>232</v>
      </c>
      <c r="D17" s="300" t="s">
        <v>228</v>
      </c>
      <c r="E17" s="297" t="s">
        <v>240</v>
      </c>
      <c r="F17" s="300" t="s">
        <v>228</v>
      </c>
      <c r="G17" s="303" t="s">
        <v>240</v>
      </c>
      <c r="H17" s="300" t="s">
        <v>228</v>
      </c>
      <c r="I17" s="303" t="s">
        <v>246</v>
      </c>
      <c r="J17" s="300" t="s">
        <v>228</v>
      </c>
      <c r="K17" s="305" t="s">
        <v>232</v>
      </c>
      <c r="L17" s="300" t="s">
        <v>228</v>
      </c>
      <c r="M17" s="303" t="s">
        <v>244</v>
      </c>
      <c r="N17" s="300" t="s">
        <v>228</v>
      </c>
      <c r="O17" s="303" t="s">
        <v>232</v>
      </c>
      <c r="P17" s="306" t="s">
        <v>228</v>
      </c>
      <c r="Q17" s="308" t="s">
        <v>248</v>
      </c>
    </row>
    <row r="18" spans="1:17" ht="24.95" customHeight="1" x14ac:dyDescent="0.2">
      <c r="A18" s="298" t="s">
        <v>207</v>
      </c>
      <c r="B18" s="300" t="s">
        <v>229</v>
      </c>
      <c r="C18" s="301" t="s">
        <v>232</v>
      </c>
      <c r="D18" s="300" t="s">
        <v>229</v>
      </c>
      <c r="E18" s="297" t="s">
        <v>237</v>
      </c>
      <c r="F18" s="300" t="s">
        <v>229</v>
      </c>
      <c r="G18" s="303" t="s">
        <v>237</v>
      </c>
      <c r="H18" s="300" t="s">
        <v>229</v>
      </c>
      <c r="I18" s="303" t="s">
        <v>247</v>
      </c>
      <c r="J18" s="300" t="s">
        <v>229</v>
      </c>
      <c r="K18" s="305" t="s">
        <v>236</v>
      </c>
      <c r="L18" s="300" t="s">
        <v>229</v>
      </c>
      <c r="M18" s="303" t="s">
        <v>246</v>
      </c>
      <c r="N18" s="300" t="s">
        <v>229</v>
      </c>
      <c r="O18" s="303" t="s">
        <v>236</v>
      </c>
      <c r="P18" s="306" t="s">
        <v>229</v>
      </c>
      <c r="Q18" s="308" t="s">
        <v>243</v>
      </c>
    </row>
    <row r="19" spans="1:17" ht="24.95" customHeight="1" x14ac:dyDescent="0.2">
      <c r="A19" s="298" t="s">
        <v>208</v>
      </c>
      <c r="B19" s="300" t="s">
        <v>230</v>
      </c>
      <c r="C19" s="301" t="s">
        <v>232</v>
      </c>
      <c r="D19" s="300" t="s">
        <v>230</v>
      </c>
      <c r="E19" s="297" t="s">
        <v>240</v>
      </c>
      <c r="F19" s="300" t="s">
        <v>230</v>
      </c>
      <c r="G19" s="303" t="s">
        <v>233</v>
      </c>
      <c r="H19" s="300" t="s">
        <v>230</v>
      </c>
      <c r="I19" s="303" t="s">
        <v>243</v>
      </c>
      <c r="J19" s="300" t="s">
        <v>230</v>
      </c>
      <c r="K19" s="305" t="s">
        <v>232</v>
      </c>
      <c r="L19" s="300" t="s">
        <v>230</v>
      </c>
      <c r="M19" s="303" t="s">
        <v>247</v>
      </c>
      <c r="N19" s="300" t="s">
        <v>230</v>
      </c>
      <c r="O19" s="303" t="s">
        <v>232</v>
      </c>
      <c r="P19" s="306" t="s">
        <v>230</v>
      </c>
      <c r="Q19" s="308" t="s">
        <v>243</v>
      </c>
    </row>
    <row r="20" spans="1:17" ht="24.95" customHeight="1" thickBot="1" x14ac:dyDescent="0.25">
      <c r="A20" s="299" t="s">
        <v>209</v>
      </c>
      <c r="B20" s="309" t="s">
        <v>231</v>
      </c>
      <c r="C20" s="310" t="s">
        <v>233</v>
      </c>
      <c r="D20" s="309" t="s">
        <v>231</v>
      </c>
      <c r="E20" s="296" t="s">
        <v>240</v>
      </c>
      <c r="F20" s="309" t="s">
        <v>231</v>
      </c>
      <c r="G20" s="304" t="s">
        <v>240</v>
      </c>
      <c r="H20" s="309" t="s">
        <v>231</v>
      </c>
      <c r="I20" s="304" t="s">
        <v>248</v>
      </c>
      <c r="J20" s="309" t="s">
        <v>231</v>
      </c>
      <c r="K20" s="311" t="s">
        <v>232</v>
      </c>
      <c r="L20" s="309" t="s">
        <v>231</v>
      </c>
      <c r="M20" s="304" t="s">
        <v>241</v>
      </c>
      <c r="N20" s="309" t="s">
        <v>231</v>
      </c>
      <c r="O20" s="304" t="s">
        <v>233</v>
      </c>
      <c r="P20" s="312" t="s">
        <v>231</v>
      </c>
      <c r="Q20" s="313" t="s">
        <v>247</v>
      </c>
    </row>
  </sheetData>
  <mergeCells count="19">
    <mergeCell ref="D8:E8"/>
    <mergeCell ref="F6:G7"/>
    <mergeCell ref="F8:G8"/>
    <mergeCell ref="R6:R7"/>
    <mergeCell ref="A6:A7"/>
    <mergeCell ref="H6:I7"/>
    <mergeCell ref="A4:Q5"/>
    <mergeCell ref="N8:O8"/>
    <mergeCell ref="N6:O7"/>
    <mergeCell ref="P6:Q7"/>
    <mergeCell ref="P8:Q8"/>
    <mergeCell ref="H8:I8"/>
    <mergeCell ref="J6:K7"/>
    <mergeCell ref="J8:K8"/>
    <mergeCell ref="L6:M7"/>
    <mergeCell ref="L8:M8"/>
    <mergeCell ref="B8:C8"/>
    <mergeCell ref="B6:C7"/>
    <mergeCell ref="D6:E7"/>
  </mergeCells>
  <pageMargins left="0.75" right="0.75" top="1" bottom="1" header="0" footer="0"/>
  <pageSetup paperSize="9" scale="75" orientation="landscape" r:id="rId1"/>
  <headerFooter alignWithMargins="0"/>
  <ignoredErrors>
    <ignoredError sqref="C9:C11 C12:C20 E9:E20 G9:G20 I9:I20 K9:K20 M9:M20 O9:O20 Q11:Q20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B2:C32"/>
  <sheetViews>
    <sheetView zoomScale="90" zoomScaleNormal="90" workbookViewId="0">
      <selection activeCell="F38" sqref="F38"/>
    </sheetView>
  </sheetViews>
  <sheetFormatPr baseColWidth="10" defaultRowHeight="15" x14ac:dyDescent="0.25"/>
  <cols>
    <col min="1" max="1" width="3.5703125" customWidth="1"/>
    <col min="2" max="2" width="29" customWidth="1"/>
    <col min="3" max="3" width="30.5703125" customWidth="1"/>
  </cols>
  <sheetData>
    <row r="2" spans="2:3" x14ac:dyDescent="0.25">
      <c r="B2" s="22"/>
      <c r="C2" s="22"/>
    </row>
    <row r="3" spans="2:3" x14ac:dyDescent="0.25">
      <c r="B3" s="369" t="s">
        <v>184</v>
      </c>
      <c r="C3" s="369"/>
    </row>
    <row r="4" spans="2:3" x14ac:dyDescent="0.25">
      <c r="B4" s="369"/>
      <c r="C4" s="369"/>
    </row>
    <row r="5" spans="2:3" ht="15.75" thickBot="1" x14ac:dyDescent="0.3">
      <c r="B5" s="60"/>
      <c r="C5" s="60"/>
    </row>
    <row r="6" spans="2:3" ht="15" customHeight="1" x14ac:dyDescent="0.25">
      <c r="B6" s="359" t="s">
        <v>38</v>
      </c>
      <c r="C6" s="285" t="s">
        <v>185</v>
      </c>
    </row>
    <row r="7" spans="2:3" x14ac:dyDescent="0.25">
      <c r="B7" s="374"/>
      <c r="C7" s="286">
        <v>2010</v>
      </c>
    </row>
    <row r="8" spans="2:3" x14ac:dyDescent="0.25">
      <c r="B8" s="374"/>
      <c r="C8" s="68"/>
    </row>
    <row r="9" spans="2:3" ht="15.75" thickBot="1" x14ac:dyDescent="0.3">
      <c r="B9" s="409"/>
      <c r="C9" s="283"/>
    </row>
    <row r="10" spans="2:3" x14ac:dyDescent="0.25">
      <c r="B10" s="236" t="s">
        <v>51</v>
      </c>
      <c r="C10" s="136">
        <v>36572</v>
      </c>
    </row>
    <row r="11" spans="2:3" x14ac:dyDescent="0.25">
      <c r="B11" s="236" t="s">
        <v>52</v>
      </c>
      <c r="C11" s="284">
        <v>15229</v>
      </c>
    </row>
    <row r="12" spans="2:3" x14ac:dyDescent="0.25">
      <c r="B12" s="236" t="s">
        <v>53</v>
      </c>
      <c r="C12" s="139">
        <v>11188</v>
      </c>
    </row>
    <row r="13" spans="2:3" x14ac:dyDescent="0.25">
      <c r="B13" s="236" t="s">
        <v>54</v>
      </c>
      <c r="C13" s="139">
        <v>124205</v>
      </c>
    </row>
    <row r="14" spans="2:3" x14ac:dyDescent="0.25">
      <c r="B14" s="236" t="s">
        <v>55</v>
      </c>
      <c r="C14" s="139">
        <v>70399</v>
      </c>
    </row>
    <row r="15" spans="2:3" x14ac:dyDescent="0.25">
      <c r="B15" s="236" t="s">
        <v>56</v>
      </c>
      <c r="C15" s="139">
        <v>34300</v>
      </c>
    </row>
    <row r="16" spans="2:3" x14ac:dyDescent="0.25">
      <c r="B16" s="236" t="s">
        <v>57</v>
      </c>
      <c r="C16" s="139">
        <v>11400</v>
      </c>
    </row>
    <row r="17" spans="2:3" x14ac:dyDescent="0.25">
      <c r="B17" s="236" t="s">
        <v>58</v>
      </c>
      <c r="C17" s="139">
        <v>27273</v>
      </c>
    </row>
    <row r="18" spans="2:3" x14ac:dyDescent="0.25">
      <c r="B18" s="236" t="s">
        <v>59</v>
      </c>
      <c r="C18" s="139">
        <v>17698</v>
      </c>
    </row>
    <row r="19" spans="2:3" x14ac:dyDescent="0.25">
      <c r="B19" s="236" t="s">
        <v>60</v>
      </c>
      <c r="C19" s="139">
        <v>13600</v>
      </c>
    </row>
    <row r="20" spans="2:3" x14ac:dyDescent="0.25">
      <c r="B20" s="236" t="s">
        <v>61</v>
      </c>
      <c r="C20" s="139">
        <v>34393</v>
      </c>
    </row>
    <row r="21" spans="2:3" x14ac:dyDescent="0.25">
      <c r="B21" s="236" t="s">
        <v>62</v>
      </c>
      <c r="C21" s="139">
        <v>23469</v>
      </c>
    </row>
    <row r="22" spans="2:3" x14ac:dyDescent="0.25">
      <c r="B22" s="236" t="s">
        <v>63</v>
      </c>
      <c r="C22" s="139">
        <v>43120</v>
      </c>
    </row>
    <row r="23" spans="2:3" x14ac:dyDescent="0.25">
      <c r="B23" s="236" t="s">
        <v>64</v>
      </c>
      <c r="C23" s="139">
        <v>7510</v>
      </c>
    </row>
    <row r="24" spans="2:3" x14ac:dyDescent="0.25">
      <c r="B24" s="236" t="s">
        <v>65</v>
      </c>
      <c r="C24" s="139">
        <v>22412</v>
      </c>
    </row>
    <row r="25" spans="2:3" x14ac:dyDescent="0.25">
      <c r="B25" s="236" t="s">
        <v>66</v>
      </c>
      <c r="C25" s="139">
        <v>93074</v>
      </c>
    </row>
    <row r="26" spans="2:3" x14ac:dyDescent="0.25">
      <c r="B26" s="236" t="s">
        <v>67</v>
      </c>
      <c r="C26" s="139">
        <v>39756</v>
      </c>
    </row>
    <row r="27" spans="2:3" x14ac:dyDescent="0.25">
      <c r="B27" s="236" t="s">
        <v>68</v>
      </c>
      <c r="C27" s="139">
        <v>380249</v>
      </c>
    </row>
    <row r="28" spans="2:3" x14ac:dyDescent="0.25">
      <c r="B28" s="236" t="s">
        <v>69</v>
      </c>
      <c r="C28" s="139">
        <v>30030</v>
      </c>
    </row>
    <row r="29" spans="2:3" ht="15.75" thickBot="1" x14ac:dyDescent="0.3">
      <c r="B29" s="236" t="s">
        <v>70</v>
      </c>
      <c r="C29" s="139">
        <v>49102</v>
      </c>
    </row>
    <row r="30" spans="2:3" ht="15.75" thickBot="1" x14ac:dyDescent="0.3">
      <c r="B30" s="240" t="s">
        <v>71</v>
      </c>
      <c r="C30" s="127">
        <f>SUM(C10:C29)</f>
        <v>1084979</v>
      </c>
    </row>
    <row r="31" spans="2:3" x14ac:dyDescent="0.25">
      <c r="B31" s="22"/>
      <c r="C31" s="22"/>
    </row>
    <row r="32" spans="2:3" x14ac:dyDescent="0.25">
      <c r="B32" s="22"/>
      <c r="C32" s="22"/>
    </row>
  </sheetData>
  <mergeCells count="3">
    <mergeCell ref="B3:C3"/>
    <mergeCell ref="B4:C4"/>
    <mergeCell ref="B6:B9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workbookViewId="0">
      <selection activeCell="A3" sqref="A3:G3"/>
    </sheetView>
  </sheetViews>
  <sheetFormatPr baseColWidth="10" defaultRowHeight="15" x14ac:dyDescent="0.25"/>
  <cols>
    <col min="1" max="1" width="22.85546875" bestFit="1" customWidth="1"/>
    <col min="2" max="7" width="17.5703125" customWidth="1"/>
  </cols>
  <sheetData>
    <row r="1" spans="1:7" x14ac:dyDescent="0.25">
      <c r="A1" s="410" t="s">
        <v>263</v>
      </c>
      <c r="B1" s="410"/>
      <c r="C1" s="410"/>
      <c r="D1" s="410"/>
      <c r="E1" s="410"/>
      <c r="F1" s="410"/>
      <c r="G1" s="410"/>
    </row>
    <row r="2" spans="1:7" ht="15.75" x14ac:dyDescent="0.25">
      <c r="A2" s="415" t="s">
        <v>262</v>
      </c>
      <c r="B2" s="415"/>
      <c r="C2" s="415"/>
      <c r="D2" s="415"/>
      <c r="E2" s="415"/>
      <c r="F2" s="415"/>
      <c r="G2" s="415"/>
    </row>
    <row r="3" spans="1:7" ht="15.75" x14ac:dyDescent="0.25">
      <c r="A3" s="387" t="s">
        <v>264</v>
      </c>
      <c r="B3" s="387"/>
      <c r="C3" s="387"/>
      <c r="D3" s="387"/>
      <c r="E3" s="387"/>
      <c r="F3" s="387"/>
      <c r="G3" s="387"/>
    </row>
    <row r="5" spans="1:7" x14ac:dyDescent="0.25">
      <c r="A5" s="411" t="s">
        <v>4</v>
      </c>
      <c r="B5" s="412">
        <v>2012</v>
      </c>
      <c r="C5" s="413"/>
      <c r="D5" s="414"/>
      <c r="E5" s="412">
        <v>2013</v>
      </c>
      <c r="F5" s="413"/>
      <c r="G5" s="414"/>
    </row>
    <row r="6" spans="1:7" x14ac:dyDescent="0.25">
      <c r="A6" s="411"/>
      <c r="B6" s="287" t="s">
        <v>186</v>
      </c>
      <c r="C6" s="287" t="s">
        <v>187</v>
      </c>
      <c r="D6" s="288" t="s">
        <v>188</v>
      </c>
      <c r="E6" s="287" t="s">
        <v>186</v>
      </c>
      <c r="F6" s="287" t="s">
        <v>187</v>
      </c>
      <c r="G6" s="288" t="s">
        <v>188</v>
      </c>
    </row>
    <row r="7" spans="1:7" ht="22.5" customHeight="1" x14ac:dyDescent="0.25">
      <c r="A7" s="289" t="s">
        <v>189</v>
      </c>
      <c r="B7" s="289">
        <v>2046626</v>
      </c>
      <c r="C7" s="289">
        <v>4426519</v>
      </c>
      <c r="D7" s="291">
        <f t="shared" ref="D7:D26" si="0">B7+C7</f>
        <v>6473145</v>
      </c>
      <c r="E7" s="289">
        <v>2150123</v>
      </c>
      <c r="F7" s="289">
        <v>6601181.8200000003</v>
      </c>
      <c r="G7" s="291">
        <f t="shared" ref="G7:G26" si="1">E7+F7</f>
        <v>8751304.8200000003</v>
      </c>
    </row>
    <row r="8" spans="1:7" ht="22.5" customHeight="1" x14ac:dyDescent="0.25">
      <c r="A8" s="289" t="s">
        <v>190</v>
      </c>
      <c r="B8" s="289">
        <v>1455204.1500000001</v>
      </c>
      <c r="C8" s="289">
        <v>1464995</v>
      </c>
      <c r="D8" s="291">
        <f t="shared" si="0"/>
        <v>2920199.1500000004</v>
      </c>
      <c r="E8" s="289">
        <v>1502301</v>
      </c>
      <c r="F8" s="289">
        <v>1532070</v>
      </c>
      <c r="G8" s="291">
        <f>E8+F8</f>
        <v>3034371</v>
      </c>
    </row>
    <row r="9" spans="1:7" ht="22.5" customHeight="1" x14ac:dyDescent="0.25">
      <c r="A9" s="289" t="s">
        <v>191</v>
      </c>
      <c r="B9" s="289">
        <v>1889595</v>
      </c>
      <c r="C9" s="289">
        <v>1541629</v>
      </c>
      <c r="D9" s="291">
        <f t="shared" si="0"/>
        <v>3431224</v>
      </c>
      <c r="E9" s="289">
        <v>1779908.65</v>
      </c>
      <c r="F9" s="289">
        <v>1130139</v>
      </c>
      <c r="G9" s="291">
        <f t="shared" si="1"/>
        <v>2910047.65</v>
      </c>
    </row>
    <row r="10" spans="1:7" ht="22.5" customHeight="1" x14ac:dyDescent="0.25">
      <c r="A10" s="289" t="s">
        <v>18</v>
      </c>
      <c r="B10" s="289">
        <v>95841916</v>
      </c>
      <c r="C10" s="289">
        <v>67984883</v>
      </c>
      <c r="D10" s="291">
        <f t="shared" si="0"/>
        <v>163826799</v>
      </c>
      <c r="E10" s="289">
        <v>88352172.160000011</v>
      </c>
      <c r="F10" s="289">
        <v>78553743.359999999</v>
      </c>
      <c r="G10" s="291">
        <f>E10+F10</f>
        <v>166905915.52000001</v>
      </c>
    </row>
    <row r="11" spans="1:7" ht="22.5" customHeight="1" x14ac:dyDescent="0.25">
      <c r="A11" s="289" t="s">
        <v>19</v>
      </c>
      <c r="B11" s="289">
        <v>13057796</v>
      </c>
      <c r="C11" s="289">
        <v>22691556</v>
      </c>
      <c r="D11" s="291">
        <f t="shared" si="0"/>
        <v>35749352</v>
      </c>
      <c r="E11" s="289">
        <v>11777750.638357153</v>
      </c>
      <c r="F11" s="289">
        <v>25101661.439999998</v>
      </c>
      <c r="G11" s="291">
        <f t="shared" si="1"/>
        <v>36879412.078357153</v>
      </c>
    </row>
    <row r="12" spans="1:7" ht="22.5" customHeight="1" x14ac:dyDescent="0.25">
      <c r="A12" s="289" t="s">
        <v>192</v>
      </c>
      <c r="B12" s="289">
        <v>9524</v>
      </c>
      <c r="C12" s="289">
        <v>50113</v>
      </c>
      <c r="D12" s="291">
        <f t="shared" si="0"/>
        <v>59637</v>
      </c>
      <c r="E12" s="289">
        <v>9730</v>
      </c>
      <c r="F12" s="289">
        <v>52381</v>
      </c>
      <c r="G12" s="291">
        <f>E12+F12</f>
        <v>62111</v>
      </c>
    </row>
    <row r="13" spans="1:7" ht="22.5" customHeight="1" x14ac:dyDescent="0.25">
      <c r="A13" s="289" t="s">
        <v>21</v>
      </c>
      <c r="B13" s="289">
        <v>15828</v>
      </c>
      <c r="C13" s="289">
        <v>119190</v>
      </c>
      <c r="D13" s="291">
        <f t="shared" si="0"/>
        <v>135018</v>
      </c>
      <c r="E13" s="289">
        <v>13924.36</v>
      </c>
      <c r="F13" s="289">
        <v>101472.6</v>
      </c>
      <c r="G13" s="291">
        <f>E13+F13</f>
        <v>115396.96</v>
      </c>
    </row>
    <row r="14" spans="1:7" ht="22.5" customHeight="1" x14ac:dyDescent="0.25">
      <c r="A14" s="289" t="s">
        <v>193</v>
      </c>
      <c r="B14" s="289">
        <v>4870794.5500000007</v>
      </c>
      <c r="C14" s="289">
        <v>3947217</v>
      </c>
      <c r="D14" s="291">
        <f t="shared" si="0"/>
        <v>8818011.5500000007</v>
      </c>
      <c r="E14" s="289">
        <v>4905326</v>
      </c>
      <c r="F14" s="289">
        <v>9261403.879999999</v>
      </c>
      <c r="G14" s="291">
        <f t="shared" si="1"/>
        <v>14166729.879999999</v>
      </c>
    </row>
    <row r="15" spans="1:7" ht="22.5" customHeight="1" x14ac:dyDescent="0.25">
      <c r="A15" s="289" t="s">
        <v>23</v>
      </c>
      <c r="B15" s="289">
        <v>714137</v>
      </c>
      <c r="C15" s="289">
        <v>1209773</v>
      </c>
      <c r="D15" s="291">
        <f t="shared" si="0"/>
        <v>1923910</v>
      </c>
      <c r="E15" s="289">
        <v>1148287.73</v>
      </c>
      <c r="F15" s="289">
        <v>1286129</v>
      </c>
      <c r="G15" s="291">
        <f t="shared" si="1"/>
        <v>2434416.73</v>
      </c>
    </row>
    <row r="16" spans="1:7" ht="22.5" customHeight="1" x14ac:dyDescent="0.25">
      <c r="A16" s="289" t="s">
        <v>24</v>
      </c>
      <c r="B16" s="289">
        <v>334516</v>
      </c>
      <c r="C16" s="289">
        <v>281308</v>
      </c>
      <c r="D16" s="291">
        <f t="shared" si="0"/>
        <v>615824</v>
      </c>
      <c r="E16" s="289">
        <v>339560</v>
      </c>
      <c r="F16" s="289">
        <v>293560</v>
      </c>
      <c r="G16" s="291">
        <f>E16+F16</f>
        <v>633120</v>
      </c>
    </row>
    <row r="17" spans="1:7" ht="22.5" customHeight="1" x14ac:dyDescent="0.25">
      <c r="A17" s="289" t="s">
        <v>25</v>
      </c>
      <c r="B17" s="289">
        <v>934494</v>
      </c>
      <c r="C17" s="289">
        <v>465152</v>
      </c>
      <c r="D17" s="291">
        <f t="shared" si="0"/>
        <v>1399646</v>
      </c>
      <c r="E17" s="289">
        <v>735142</v>
      </c>
      <c r="F17" s="289">
        <v>489980</v>
      </c>
      <c r="G17" s="291">
        <f t="shared" si="1"/>
        <v>1225122</v>
      </c>
    </row>
    <row r="18" spans="1:7" ht="22.5" customHeight="1" x14ac:dyDescent="0.25">
      <c r="A18" s="289" t="s">
        <v>26</v>
      </c>
      <c r="B18" s="289">
        <v>374228.1</v>
      </c>
      <c r="C18" s="289">
        <v>1532822</v>
      </c>
      <c r="D18" s="291">
        <f t="shared" si="0"/>
        <v>1907050.1</v>
      </c>
      <c r="E18" s="289">
        <v>491665.95</v>
      </c>
      <c r="F18" s="289">
        <v>1625310.25</v>
      </c>
      <c r="G18" s="291">
        <f t="shared" si="1"/>
        <v>2116976.2000000002</v>
      </c>
    </row>
    <row r="19" spans="1:7" ht="22.5" customHeight="1" x14ac:dyDescent="0.25">
      <c r="A19" s="289" t="s">
        <v>27</v>
      </c>
      <c r="B19" s="289">
        <v>1846372</v>
      </c>
      <c r="C19" s="289">
        <v>6736025</v>
      </c>
      <c r="D19" s="291">
        <f t="shared" si="0"/>
        <v>8582397</v>
      </c>
      <c r="E19" s="289">
        <v>1956037</v>
      </c>
      <c r="F19" s="289">
        <v>6859350</v>
      </c>
      <c r="G19" s="291">
        <f t="shared" si="1"/>
        <v>8815387</v>
      </c>
    </row>
    <row r="20" spans="1:7" ht="22.5" customHeight="1" x14ac:dyDescent="0.25">
      <c r="A20" s="289" t="s">
        <v>194</v>
      </c>
      <c r="B20" s="289">
        <v>664308</v>
      </c>
      <c r="C20" s="289">
        <v>1593517</v>
      </c>
      <c r="D20" s="291">
        <f t="shared" si="0"/>
        <v>2257825</v>
      </c>
      <c r="E20" s="289">
        <v>822738.69</v>
      </c>
      <c r="F20" s="289">
        <v>578294.88</v>
      </c>
      <c r="G20" s="291">
        <f>E20+F20</f>
        <v>1401033.5699999998</v>
      </c>
    </row>
    <row r="21" spans="1:7" ht="22.5" customHeight="1" x14ac:dyDescent="0.25">
      <c r="A21" s="289" t="s">
        <v>195</v>
      </c>
      <c r="B21" s="289">
        <v>1287542</v>
      </c>
      <c r="C21" s="289">
        <v>874741</v>
      </c>
      <c r="D21" s="291">
        <f t="shared" si="0"/>
        <v>2162283</v>
      </c>
      <c r="E21" s="289">
        <v>1094653</v>
      </c>
      <c r="F21" s="289">
        <v>901320</v>
      </c>
      <c r="G21" s="291">
        <f t="shared" si="1"/>
        <v>1995973</v>
      </c>
    </row>
    <row r="22" spans="1:7" ht="22.5" customHeight="1" x14ac:dyDescent="0.25">
      <c r="A22" s="289" t="s">
        <v>30</v>
      </c>
      <c r="B22" s="289">
        <v>4488871.26</v>
      </c>
      <c r="C22" s="289">
        <v>8834009</v>
      </c>
      <c r="D22" s="291">
        <f t="shared" si="0"/>
        <v>13322880.26</v>
      </c>
      <c r="E22" s="289">
        <v>4866806.0599999996</v>
      </c>
      <c r="F22" s="289">
        <v>10209341</v>
      </c>
      <c r="G22" s="291">
        <f t="shared" si="1"/>
        <v>15076147.059999999</v>
      </c>
    </row>
    <row r="23" spans="1:7" ht="22.5" customHeight="1" x14ac:dyDescent="0.25">
      <c r="A23" s="289" t="s">
        <v>31</v>
      </c>
      <c r="B23" s="289">
        <v>1573977.2000000002</v>
      </c>
      <c r="C23" s="289">
        <v>2290572</v>
      </c>
      <c r="D23" s="291">
        <f t="shared" si="0"/>
        <v>3864549.2</v>
      </c>
      <c r="E23" s="289">
        <v>1658234</v>
      </c>
      <c r="F23" s="289">
        <v>2349220</v>
      </c>
      <c r="G23" s="291">
        <f t="shared" si="1"/>
        <v>4007454</v>
      </c>
    </row>
    <row r="24" spans="1:7" ht="22.5" customHeight="1" x14ac:dyDescent="0.25">
      <c r="A24" s="289" t="s">
        <v>32</v>
      </c>
      <c r="B24" s="289">
        <v>51190260.359999999</v>
      </c>
      <c r="C24" s="289">
        <v>117299615</v>
      </c>
      <c r="D24" s="291">
        <f t="shared" si="0"/>
        <v>168489875.36000001</v>
      </c>
      <c r="E24" s="289">
        <v>54217859.890000001</v>
      </c>
      <c r="F24" s="289">
        <v>154014931.43000001</v>
      </c>
      <c r="G24" s="291">
        <f>E24+F24</f>
        <v>208232791.31999999</v>
      </c>
    </row>
    <row r="25" spans="1:7" ht="22.5" customHeight="1" x14ac:dyDescent="0.25">
      <c r="A25" s="289" t="s">
        <v>33</v>
      </c>
      <c r="B25" s="289">
        <v>1148003</v>
      </c>
      <c r="C25" s="289">
        <v>2062533</v>
      </c>
      <c r="D25" s="291">
        <f t="shared" si="0"/>
        <v>3210536</v>
      </c>
      <c r="E25" s="289">
        <v>1147813.18</v>
      </c>
      <c r="F25" s="289">
        <v>2155676</v>
      </c>
      <c r="G25" s="291">
        <f t="shared" si="1"/>
        <v>3303489.1799999997</v>
      </c>
    </row>
    <row r="26" spans="1:7" ht="22.5" customHeight="1" x14ac:dyDescent="0.25">
      <c r="A26" s="289" t="s">
        <v>34</v>
      </c>
      <c r="B26" s="289">
        <v>6915510.0800000001</v>
      </c>
      <c r="C26" s="289">
        <v>12881237</v>
      </c>
      <c r="D26" s="291">
        <f t="shared" si="0"/>
        <v>19796747.079999998</v>
      </c>
      <c r="E26" s="289">
        <v>8848537.2699999996</v>
      </c>
      <c r="F26" s="289">
        <v>15713290</v>
      </c>
      <c r="G26" s="291">
        <f t="shared" si="1"/>
        <v>24561827.27</v>
      </c>
    </row>
    <row r="27" spans="1:7" x14ac:dyDescent="0.25">
      <c r="A27" s="278" t="s">
        <v>71</v>
      </c>
      <c r="B27" s="290">
        <f>SUM(B7:B26)</f>
        <v>190659502.70000002</v>
      </c>
      <c r="C27" s="290">
        <f>SUM(C7:C26)</f>
        <v>258287406</v>
      </c>
      <c r="D27" s="291">
        <f>B27+C27</f>
        <v>448946908.70000005</v>
      </c>
      <c r="E27" s="290">
        <f>SUM(E7:E26)</f>
        <v>187818570.57835719</v>
      </c>
      <c r="F27" s="290">
        <f>SUM(F7:F26)</f>
        <v>318810455.65999997</v>
      </c>
      <c r="G27" s="291">
        <f>E27+F27</f>
        <v>506629026.23835719</v>
      </c>
    </row>
  </sheetData>
  <mergeCells count="6">
    <mergeCell ref="A1:G1"/>
    <mergeCell ref="A5:A6"/>
    <mergeCell ref="B5:D5"/>
    <mergeCell ref="E5:G5"/>
    <mergeCell ref="A3:G3"/>
    <mergeCell ref="A2:G2"/>
  </mergeCells>
  <pageMargins left="0.70866141732283472" right="0.70866141732283472" top="0.74803149606299213" bottom="0.74803149606299213" header="0.31496062992125984" footer="0.31496062992125984"/>
  <pageSetup scale="95" orientation="landscape" r:id="rId1"/>
  <ignoredErrors>
    <ignoredError sqref="D2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2"/>
    <pageSetUpPr fitToPage="1"/>
  </sheetPr>
  <dimension ref="A1:R36"/>
  <sheetViews>
    <sheetView topLeftCell="D6" workbookViewId="0">
      <selection activeCell="I16" sqref="I16"/>
    </sheetView>
  </sheetViews>
  <sheetFormatPr baseColWidth="10" defaultColWidth="10.85546875" defaultRowHeight="12.75" x14ac:dyDescent="0.2"/>
  <cols>
    <col min="1" max="1" width="19.140625" style="1" customWidth="1"/>
    <col min="2" max="2" width="12.140625" style="1" customWidth="1"/>
    <col min="3" max="3" width="12.85546875" style="1" customWidth="1"/>
    <col min="4" max="4" width="11.140625" style="1" customWidth="1"/>
    <col min="5" max="5" width="12.7109375" style="1" bestFit="1" customWidth="1"/>
    <col min="6" max="6" width="10.7109375" style="1" customWidth="1"/>
    <col min="7" max="7" width="12" style="1" customWidth="1"/>
    <col min="8" max="8" width="11.140625" style="1" customWidth="1"/>
    <col min="9" max="9" width="12.5703125" style="1" customWidth="1"/>
    <col min="10" max="13" width="10.85546875" style="1" bestFit="1" customWidth="1"/>
    <col min="14" max="14" width="10.85546875" style="1" customWidth="1"/>
    <col min="15" max="17" width="10.85546875" style="1" bestFit="1" customWidth="1"/>
    <col min="18" max="18" width="12.140625" style="1" bestFit="1" customWidth="1"/>
    <col min="19" max="16384" width="10.85546875" style="1"/>
  </cols>
  <sheetData>
    <row r="1" spans="1:18" ht="15.75" x14ac:dyDescent="0.25">
      <c r="A1" s="346" t="s">
        <v>0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</row>
    <row r="2" spans="1:18" x14ac:dyDescent="0.2">
      <c r="A2" s="347" t="s">
        <v>1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  <c r="R2" s="347"/>
    </row>
    <row r="3" spans="1:18" x14ac:dyDescent="0.2">
      <c r="A3" s="347" t="s">
        <v>2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</row>
    <row r="4" spans="1:18" x14ac:dyDescent="0.2">
      <c r="A4" s="348" t="s">
        <v>3</v>
      </c>
      <c r="B4" s="348"/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</row>
    <row r="5" spans="1:18" x14ac:dyDescent="0.2">
      <c r="A5" s="2"/>
    </row>
    <row r="6" spans="1:18" ht="13.5" thickBot="1" x14ac:dyDescent="0.25"/>
    <row r="7" spans="1:18" ht="23.45" customHeight="1" thickBot="1" x14ac:dyDescent="0.25">
      <c r="A7" s="349" t="s">
        <v>4</v>
      </c>
      <c r="B7" s="351" t="s">
        <v>5</v>
      </c>
      <c r="C7" s="352"/>
      <c r="D7" s="353" t="s">
        <v>6</v>
      </c>
      <c r="E7" s="354"/>
      <c r="F7" s="355" t="s">
        <v>7</v>
      </c>
      <c r="G7" s="356"/>
      <c r="H7" s="344" t="s">
        <v>8</v>
      </c>
      <c r="I7" s="345"/>
      <c r="J7" s="344" t="s">
        <v>9</v>
      </c>
      <c r="K7" s="345"/>
      <c r="L7" s="344" t="s">
        <v>10</v>
      </c>
      <c r="M7" s="345"/>
      <c r="N7" s="315" t="s">
        <v>256</v>
      </c>
      <c r="O7" s="344" t="s">
        <v>259</v>
      </c>
      <c r="P7" s="345"/>
      <c r="Q7" s="357" t="s">
        <v>11</v>
      </c>
      <c r="R7" s="358"/>
    </row>
    <row r="8" spans="1:18" ht="35.1" customHeight="1" thickBot="1" x14ac:dyDescent="0.25">
      <c r="A8" s="350"/>
      <c r="B8" s="316" t="s">
        <v>12</v>
      </c>
      <c r="C8" s="316" t="s">
        <v>210</v>
      </c>
      <c r="D8" s="317" t="s">
        <v>13</v>
      </c>
      <c r="E8" s="316" t="s">
        <v>210</v>
      </c>
      <c r="F8" s="315" t="s">
        <v>12</v>
      </c>
      <c r="G8" s="316" t="s">
        <v>210</v>
      </c>
      <c r="H8" s="315" t="s">
        <v>12</v>
      </c>
      <c r="I8" s="316" t="s">
        <v>210</v>
      </c>
      <c r="J8" s="315" t="s">
        <v>12</v>
      </c>
      <c r="K8" s="316" t="s">
        <v>210</v>
      </c>
      <c r="L8" s="315" t="s">
        <v>12</v>
      </c>
      <c r="M8" s="316" t="s">
        <v>210</v>
      </c>
      <c r="N8" s="316" t="s">
        <v>210</v>
      </c>
      <c r="O8" s="315" t="s">
        <v>12</v>
      </c>
      <c r="P8" s="316" t="s">
        <v>210</v>
      </c>
      <c r="Q8" s="315" t="s">
        <v>14</v>
      </c>
      <c r="R8" s="316" t="s">
        <v>210</v>
      </c>
    </row>
    <row r="9" spans="1:18" x14ac:dyDescent="0.2">
      <c r="A9" s="3" t="s">
        <v>15</v>
      </c>
      <c r="B9" s="254">
        <v>4.3120859999999999</v>
      </c>
      <c r="C9" s="4">
        <f>'FGP '!T11</f>
        <v>35562554.359724566</v>
      </c>
      <c r="D9" s="5">
        <v>3.6200000000000003E-2</v>
      </c>
      <c r="E9" s="6">
        <f>'FFM '!D11</f>
        <v>15545510.800000001</v>
      </c>
      <c r="F9" s="7">
        <f>[1]IEPS!$B$7</f>
        <v>5</v>
      </c>
      <c r="G9" s="6">
        <f>'IEPS '!G9</f>
        <v>929034</v>
      </c>
      <c r="H9" s="7">
        <f>[1]IEPSGAS!B7</f>
        <v>3.3707560000000001</v>
      </c>
      <c r="I9" s="6">
        <f>'GASOLINA '!H9</f>
        <v>1648144.0541972471</v>
      </c>
      <c r="J9" s="7">
        <f>[1]FOFIE!B7</f>
        <v>0.29983700000000002</v>
      </c>
      <c r="K9" s="6">
        <f>FOFIR!K9</f>
        <v>1631226.9141626335</v>
      </c>
      <c r="L9" s="8">
        <f>[1]F.C!B7</f>
        <v>3.3211249999999999</v>
      </c>
      <c r="M9" s="6">
        <f>FOCO!N10</f>
        <v>3158285.6162256896</v>
      </c>
      <c r="N9" s="6">
        <f>'[2]PORCENTAJEISAN CONCENTRADO'!O9</f>
        <v>10065</v>
      </c>
      <c r="O9" s="7">
        <f>'[3]ISANYFCISAN CONCENTRADO'!B7</f>
        <v>4.3120859999999999</v>
      </c>
      <c r="P9" s="6">
        <f>'ISAN y fondo compensacion isan'!L10</f>
        <v>242554.83547765444</v>
      </c>
      <c r="Q9" s="9">
        <f>R9/R29*100</f>
        <v>3.6227399159534026</v>
      </c>
      <c r="R9" s="6">
        <f t="shared" ref="R9:R28" si="0">C9+E9+G9+I9+K9+M9+P9+N9</f>
        <v>58727375.579787791</v>
      </c>
    </row>
    <row r="10" spans="1:18" x14ac:dyDescent="0.2">
      <c r="A10" s="10" t="s">
        <v>16</v>
      </c>
      <c r="B10" s="255">
        <v>2.9635889999999998</v>
      </c>
      <c r="C10" s="4">
        <f>'FGP '!T12</f>
        <v>24266109.361903578</v>
      </c>
      <c r="D10" s="5">
        <v>2.47E-2</v>
      </c>
      <c r="E10" s="6">
        <f>'FFM '!D12</f>
        <v>10607019.800000001</v>
      </c>
      <c r="F10" s="7">
        <f>[1]IEPS!$B$7</f>
        <v>5</v>
      </c>
      <c r="G10" s="6">
        <f>'IEPS '!G10</f>
        <v>1308258</v>
      </c>
      <c r="H10" s="7">
        <f>[1]IEPSGAS!B8</f>
        <v>1.4036219999999999</v>
      </c>
      <c r="I10" s="6">
        <f>'GASOLINA '!H10</f>
        <v>674682.25968896644</v>
      </c>
      <c r="J10" s="7">
        <f>[1]FOFIE!B8</f>
        <v>4.3291999999999997E-2</v>
      </c>
      <c r="K10" s="6">
        <f>FOFIR!K10</f>
        <v>660008.18334960332</v>
      </c>
      <c r="L10" s="8">
        <f>[1]F.C!B8</f>
        <v>3.291776</v>
      </c>
      <c r="M10" s="6">
        <f>FOCO!N11</f>
        <v>1501418.5024465218</v>
      </c>
      <c r="N10" s="6">
        <f>'[2]PORCENTAJEISAN CONCENTRADO'!O10</f>
        <v>443</v>
      </c>
      <c r="O10" s="7">
        <f>'[3]ISANYFCISAN CONCENTRADO'!B8</f>
        <v>2.9635889999999998</v>
      </c>
      <c r="P10" s="6">
        <f>'ISAN y fondo compensacion isan'!L11</f>
        <v>166701.87072612369</v>
      </c>
      <c r="Q10" s="9">
        <f>R10/$R$29*100</f>
        <v>2.4171991607364927</v>
      </c>
      <c r="R10" s="6">
        <f t="shared" si="0"/>
        <v>39184640.978114791</v>
      </c>
    </row>
    <row r="11" spans="1:18" x14ac:dyDescent="0.2">
      <c r="A11" s="10" t="s">
        <v>17</v>
      </c>
      <c r="B11" s="255">
        <v>2.6503190000000001</v>
      </c>
      <c r="C11" s="4">
        <f>'FGP '!T13</f>
        <v>22883551.030771889</v>
      </c>
      <c r="D11" s="5">
        <v>2.3300000000000001E-2</v>
      </c>
      <c r="E11" s="6">
        <f>'FFM '!D13</f>
        <v>10005812.199999999</v>
      </c>
      <c r="F11" s="7">
        <f>[1]IEPS!$B$7</f>
        <v>5</v>
      </c>
      <c r="G11" s="6">
        <f>'IEPS '!G11</f>
        <v>1378332</v>
      </c>
      <c r="H11" s="7">
        <f>[1]IEPSGAS!B9</f>
        <v>1.031172</v>
      </c>
      <c r="I11" s="6">
        <f>'GASOLINA '!H11</f>
        <v>493856.16867983155</v>
      </c>
      <c r="J11" s="7">
        <f>[1]FOFIE!B9</f>
        <v>3.0501E-2</v>
      </c>
      <c r="K11" s="6">
        <f>FOFIR!K11</f>
        <v>482737.77445079532</v>
      </c>
      <c r="L11" s="8">
        <f>[1]F.C!B9</f>
        <v>3.8651369999999998</v>
      </c>
      <c r="M11" s="6">
        <f>FOCO!N12</f>
        <v>1312185.1244973484</v>
      </c>
      <c r="N11" s="6">
        <f>'[2]PORCENTAJEISAN CONCENTRADO'!O11</f>
        <v>47</v>
      </c>
      <c r="O11" s="7">
        <f>'[3]ISANYFCISAN CONCENTRADO'!B9</f>
        <v>2.6503190000000001</v>
      </c>
      <c r="P11" s="6">
        <f>'ISAN y fondo compensacion isan'!L12</f>
        <v>149080.42222275937</v>
      </c>
      <c r="Q11" s="9">
        <f t="shared" ref="Q11:Q28" si="1">R11/$R$29*100</f>
        <v>2.264273640352378</v>
      </c>
      <c r="R11" s="6">
        <f t="shared" si="0"/>
        <v>36705601.720622614</v>
      </c>
    </row>
    <row r="12" spans="1:18" x14ac:dyDescent="0.2">
      <c r="A12" s="10" t="s">
        <v>18</v>
      </c>
      <c r="B12" s="255">
        <v>8.4853830000000006</v>
      </c>
      <c r="C12" s="4">
        <f>'FGP '!T14</f>
        <v>27858086.458300542</v>
      </c>
      <c r="D12" s="5">
        <v>2.81E-2</v>
      </c>
      <c r="E12" s="6">
        <f>'FFM '!D14</f>
        <v>12067095.4</v>
      </c>
      <c r="F12" s="7">
        <f>[1]IEPS!$B$7</f>
        <v>5</v>
      </c>
      <c r="G12" s="6">
        <f>'IEPS '!G12</f>
        <v>1163988</v>
      </c>
      <c r="H12" s="7">
        <f>[1]IEPSGAS!B10</f>
        <v>11.447687</v>
      </c>
      <c r="I12" s="6">
        <f>'GASOLINA '!H12</f>
        <v>4207263.7009254098</v>
      </c>
      <c r="J12" s="7">
        <f>[1]FOFIE!B10</f>
        <v>19.421098000000001</v>
      </c>
      <c r="K12" s="6">
        <f>FOFIR!K12</f>
        <v>5333807.1228153305</v>
      </c>
      <c r="L12" s="8">
        <f>[1]F.C!B10</f>
        <v>8.2965210000000003</v>
      </c>
      <c r="M12" s="6">
        <f>FOCO!N13</f>
        <v>6464588.8059062148</v>
      </c>
      <c r="N12" s="6">
        <f>'[2]PORCENTAJEISAN CONCENTRADO'!O12</f>
        <v>67655</v>
      </c>
      <c r="O12" s="7">
        <f>'[3]ISANYFCISAN CONCENTRADO'!B10</f>
        <v>8.4853830000000006</v>
      </c>
      <c r="P12" s="6">
        <f>'ISAN y fondo compensacion isan'!L13</f>
        <v>477302.81749484834</v>
      </c>
      <c r="Q12" s="9">
        <f t="shared" si="1"/>
        <v>3.5556494080821439</v>
      </c>
      <c r="R12" s="6">
        <f t="shared" si="0"/>
        <v>57639787.305442348</v>
      </c>
    </row>
    <row r="13" spans="1:18" x14ac:dyDescent="0.2">
      <c r="A13" s="10" t="s">
        <v>19</v>
      </c>
      <c r="B13" s="255">
        <v>5.62913</v>
      </c>
      <c r="C13" s="4">
        <f>'FGP '!T15</f>
        <v>45587964.821492888</v>
      </c>
      <c r="D13" s="5">
        <v>4.6399999999999997E-2</v>
      </c>
      <c r="E13" s="6">
        <f>'FFM '!D15</f>
        <v>19925737.599999998</v>
      </c>
      <c r="F13" s="7">
        <f>[1]IEPS!$B$7</f>
        <v>5</v>
      </c>
      <c r="G13" s="6">
        <f>'IEPS '!G13</f>
        <v>749727</v>
      </c>
      <c r="H13" s="7">
        <f>[1]IEPSGAS!B11</f>
        <v>6.4885130000000002</v>
      </c>
      <c r="I13" s="6">
        <f>'GASOLINA '!H13</f>
        <v>3018628.8862724765</v>
      </c>
      <c r="J13" s="7">
        <f>[1]FOFIE!B11</f>
        <v>2.4322789999999999</v>
      </c>
      <c r="K13" s="6">
        <f>FOFIR!K13</f>
        <v>3103567.2601896757</v>
      </c>
      <c r="L13" s="8">
        <f>[1]F.C!B11</f>
        <v>5.0415029999999996</v>
      </c>
      <c r="M13" s="6">
        <f>FOCO!N14</f>
        <v>5110322.4210475506</v>
      </c>
      <c r="N13" s="6">
        <f>'[2]PORCENTAJEISAN CONCENTRADO'!O13</f>
        <v>9434</v>
      </c>
      <c r="O13" s="7">
        <f>'[3]ISANYFCISAN CONCENTRADO'!B11</f>
        <v>5.62913</v>
      </c>
      <c r="P13" s="6">
        <f>'ISAN y fondo compensacion isan'!L14</f>
        <v>316638.5649488871</v>
      </c>
      <c r="Q13" s="9">
        <f t="shared" si="1"/>
        <v>4.8006391809202134</v>
      </c>
      <c r="R13" s="6">
        <f t="shared" si="0"/>
        <v>77822020.553951487</v>
      </c>
    </row>
    <row r="14" spans="1:18" x14ac:dyDescent="0.2">
      <c r="A14" s="10" t="s">
        <v>20</v>
      </c>
      <c r="B14" s="255">
        <v>3.8142420000000001</v>
      </c>
      <c r="C14" s="4">
        <f>'FGP '!T16</f>
        <v>14835656.607305437</v>
      </c>
      <c r="D14" s="5">
        <v>1.4999999999999999E-2</v>
      </c>
      <c r="E14" s="6">
        <f>'FFM '!D16</f>
        <v>6441510</v>
      </c>
      <c r="F14" s="7">
        <f>[1]IEPS!$B$7</f>
        <v>5</v>
      </c>
      <c r="G14" s="6">
        <f>'IEPS '!G14</f>
        <v>2077011</v>
      </c>
      <c r="H14" s="7">
        <f>[1]IEPSGAS!B12</f>
        <v>3.1613519999999999</v>
      </c>
      <c r="I14" s="6">
        <f>'GASOLINA '!H14</f>
        <v>1466745.8763334129</v>
      </c>
      <c r="J14" s="7">
        <f>[1]FOFIE!B12</f>
        <v>1.9959999999999999E-3</v>
      </c>
      <c r="K14" s="6">
        <f>FOFIR!K14</f>
        <v>1419509.3047329672</v>
      </c>
      <c r="L14" s="8">
        <f>[1]F.C!B12</f>
        <v>3.238235</v>
      </c>
      <c r="M14" s="6">
        <f>FOCO!N15</f>
        <v>5747237.8037687903</v>
      </c>
      <c r="N14" s="6">
        <f>'[2]PORCENTAJEISAN CONCENTRADO'!O14</f>
        <v>4356</v>
      </c>
      <c r="O14" s="7">
        <f>'[3]ISANYFCISAN CONCENTRADO'!B12</f>
        <v>3.8142420000000001</v>
      </c>
      <c r="P14" s="6">
        <f>'ISAN y fondo compensacion isan'!L15</f>
        <v>214551.09953845773</v>
      </c>
      <c r="Q14" s="9">
        <f t="shared" si="1"/>
        <v>1.9867404835992122</v>
      </c>
      <c r="R14" s="6">
        <f t="shared" si="0"/>
        <v>32206577.691679064</v>
      </c>
    </row>
    <row r="15" spans="1:18" x14ac:dyDescent="0.2">
      <c r="A15" s="10" t="s">
        <v>21</v>
      </c>
      <c r="B15" s="255">
        <v>2.6617039999999998</v>
      </c>
      <c r="C15" s="4">
        <f>'FGP '!T17</f>
        <v>15071887.28625783</v>
      </c>
      <c r="D15" s="5">
        <v>1.5299999999999999E-2</v>
      </c>
      <c r="E15" s="6">
        <f>'FFM '!D17</f>
        <v>6570340.2000000002</v>
      </c>
      <c r="F15" s="7">
        <f>[1]IEPS!$B$7</f>
        <v>5</v>
      </c>
      <c r="G15" s="6">
        <f>'IEPS '!G15</f>
        <v>2039913</v>
      </c>
      <c r="H15" s="7">
        <f>[1]IEPSGAS!B13</f>
        <v>1.0507120000000001</v>
      </c>
      <c r="I15" s="6">
        <f>'GASOLINA '!H15</f>
        <v>502959.84993297106</v>
      </c>
      <c r="J15" s="7">
        <f>[1]FOFIE!B13</f>
        <v>1.232E-3</v>
      </c>
      <c r="K15" s="6">
        <f>FOFIR!K15</f>
        <v>489374.48775393347</v>
      </c>
      <c r="L15" s="8">
        <f>[1]F.C!B13</f>
        <v>3.82036</v>
      </c>
      <c r="M15" s="6">
        <f>FOCO!N16</f>
        <v>1824675.3524438748</v>
      </c>
      <c r="N15" s="6">
        <f>'[2]PORCENTAJEISAN CONCENTRADO'!O15</f>
        <v>0</v>
      </c>
      <c r="O15" s="7">
        <f>'[3]ISANYFCISAN CONCENTRADO'!B13</f>
        <v>2.6617039999999998</v>
      </c>
      <c r="P15" s="6">
        <f>'ISAN y fondo compensacion isan'!L16</f>
        <v>149720.84723682897</v>
      </c>
      <c r="Q15" s="9">
        <f t="shared" si="1"/>
        <v>1.6438999328553128</v>
      </c>
      <c r="R15" s="6">
        <f t="shared" si="0"/>
        <v>26648871.023625441</v>
      </c>
    </row>
    <row r="16" spans="1:18" x14ac:dyDescent="0.2">
      <c r="A16" s="10" t="s">
        <v>22</v>
      </c>
      <c r="B16" s="255">
        <v>4.1722080000000004</v>
      </c>
      <c r="C16" s="4">
        <f>'FGP '!T18</f>
        <v>31063640.706657443</v>
      </c>
      <c r="D16" s="5">
        <v>3.1600000000000003E-2</v>
      </c>
      <c r="E16" s="6">
        <f>'FFM '!D18</f>
        <v>13570114.4</v>
      </c>
      <c r="F16" s="7">
        <f>[1]IEPS!$B$7</f>
        <v>5</v>
      </c>
      <c r="G16" s="6">
        <f>'IEPS '!G16</f>
        <v>1048571.9999999999</v>
      </c>
      <c r="H16" s="7">
        <f>[1]IEPSGAS!B14</f>
        <v>2.5136889999999998</v>
      </c>
      <c r="I16" s="6">
        <f>'GASOLINA '!H16</f>
        <v>1224439.9305041158</v>
      </c>
      <c r="J16" s="7">
        <f>[1]FOFIE!B14</f>
        <v>0.36196400000000001</v>
      </c>
      <c r="K16" s="6">
        <f>FOFIR!K16</f>
        <v>1221505.0743555396</v>
      </c>
      <c r="L16" s="8">
        <f>[1]F.C!B14</f>
        <v>3.049042</v>
      </c>
      <c r="M16" s="6">
        <f>FOCO!N17</f>
        <v>2271234.648493031</v>
      </c>
      <c r="N16" s="6">
        <f>'[2]PORCENTAJEISAN CONCENTRADO'!O16</f>
        <v>0</v>
      </c>
      <c r="O16" s="7">
        <f>'[3]ISANYFCISAN CONCENTRADO'!B14</f>
        <v>4.1722080000000004</v>
      </c>
      <c r="P16" s="6">
        <f>'ISAN y fondo compensacion isan'!L17</f>
        <v>234686.6907006969</v>
      </c>
      <c r="Q16" s="9">
        <f t="shared" si="1"/>
        <v>3.1234924413875755</v>
      </c>
      <c r="R16" s="6">
        <f t="shared" si="0"/>
        <v>50634193.450710826</v>
      </c>
    </row>
    <row r="17" spans="1:18" x14ac:dyDescent="0.2">
      <c r="A17" s="10" t="s">
        <v>23</v>
      </c>
      <c r="B17" s="255">
        <v>3.309904</v>
      </c>
      <c r="C17" s="4">
        <f>'FGP '!T19</f>
        <v>27603350.194759421</v>
      </c>
      <c r="D17" s="5">
        <v>2.81E-2</v>
      </c>
      <c r="E17" s="6">
        <f>'FFM '!D19</f>
        <v>12067095.4</v>
      </c>
      <c r="F17" s="7">
        <f>[1]IEPS!$B$7</f>
        <v>5</v>
      </c>
      <c r="G17" s="6">
        <f>'IEPS '!G17</f>
        <v>1163988</v>
      </c>
      <c r="H17" s="7">
        <f>[1]IEPSGAS!B15</f>
        <v>1.631184</v>
      </c>
      <c r="I17" s="6">
        <f>'GASOLINA '!H17</f>
        <v>767906.95857576502</v>
      </c>
      <c r="J17" s="7">
        <f>[1]FOFIE!B15</f>
        <v>4.0363000000000003E-2</v>
      </c>
      <c r="K17" s="6">
        <f>FOFIR!K17</f>
        <v>747949.18026379205</v>
      </c>
      <c r="L17" s="8">
        <f>[1]F.C!B15</f>
        <v>3.1289129999999998</v>
      </c>
      <c r="M17" s="6">
        <f>FOCO!N18</f>
        <v>1996836.9370371019</v>
      </c>
      <c r="N17" s="6">
        <f>'[2]PORCENTAJEISAN CONCENTRADO'!O17</f>
        <v>0</v>
      </c>
      <c r="O17" s="7">
        <f>'[3]ISANYFCISAN CONCENTRADO'!B15</f>
        <v>3.309904</v>
      </c>
      <c r="P17" s="6">
        <f>'ISAN y fondo compensacion isan'!L18</f>
        <v>186182.10041594965</v>
      </c>
      <c r="Q17" s="9">
        <f t="shared" si="1"/>
        <v>2.7471446439008562</v>
      </c>
      <c r="R17" s="6">
        <f t="shared" si="0"/>
        <v>44533308.771052033</v>
      </c>
    </row>
    <row r="18" spans="1:18" x14ac:dyDescent="0.2">
      <c r="A18" s="10" t="s">
        <v>24</v>
      </c>
      <c r="B18" s="255">
        <v>2.8896470000000001</v>
      </c>
      <c r="C18" s="4">
        <f>'FGP '!T20</f>
        <v>15766676.236277994</v>
      </c>
      <c r="D18" s="5">
        <v>1.6E-2</v>
      </c>
      <c r="E18" s="6">
        <f>'FFM '!D20</f>
        <v>6870944</v>
      </c>
      <c r="F18" s="7">
        <f>[1]IEPS!$B$7</f>
        <v>5</v>
      </c>
      <c r="G18" s="6">
        <f>'IEPS '!G18</f>
        <v>1955412</v>
      </c>
      <c r="H18" s="7">
        <f>[1]IEPSGAS!B16</f>
        <v>1.2534799999999999</v>
      </c>
      <c r="I18" s="6">
        <f>'GASOLINA '!H18</f>
        <v>578948.88369196549</v>
      </c>
      <c r="J18" s="7">
        <f>[1]FOFIE!B16</f>
        <v>8.0669999999999995E-3</v>
      </c>
      <c r="K18" s="6">
        <f>FOFIR!K18</f>
        <v>560410.56058655726</v>
      </c>
      <c r="L18" s="8">
        <f>[1]F.C!B16</f>
        <v>3.463276</v>
      </c>
      <c r="M18" s="6">
        <f>FOCO!N19</f>
        <v>2031275.8786641292</v>
      </c>
      <c r="N18" s="6">
        <f>'[2]PORCENTAJEISAN CONCENTRADO'!O18</f>
        <v>0</v>
      </c>
      <c r="O18" s="7">
        <f>'[3]ISANYFCISAN CONCENTRADO'!B16</f>
        <v>2.8896470000000001</v>
      </c>
      <c r="P18" s="6">
        <f>'ISAN y fondo compensacion isan'!L19</f>
        <v>162542.66497371215</v>
      </c>
      <c r="Q18" s="9">
        <f t="shared" si="1"/>
        <v>1.7226956846223249</v>
      </c>
      <c r="R18" s="6">
        <f t="shared" si="0"/>
        <v>27926210.224194359</v>
      </c>
    </row>
    <row r="19" spans="1:18" x14ac:dyDescent="0.2">
      <c r="A19" s="10" t="s">
        <v>25</v>
      </c>
      <c r="B19" s="255">
        <v>3.618474</v>
      </c>
      <c r="C19" s="4">
        <f>'FGP '!T21</f>
        <v>27911496.381113596</v>
      </c>
      <c r="D19" s="5">
        <v>2.8400000000000002E-2</v>
      </c>
      <c r="E19" s="6">
        <f>'FFM '!D21</f>
        <v>12195925.6</v>
      </c>
      <c r="F19" s="7">
        <f>[1]IEPS!$B$7</f>
        <v>5</v>
      </c>
      <c r="G19" s="6">
        <f>'IEPS '!G19</f>
        <v>1151621.9999999998</v>
      </c>
      <c r="H19" s="7">
        <f>[1]IEPSGAS!B17</f>
        <v>3.1699229999999998</v>
      </c>
      <c r="I19" s="6">
        <f>'GASOLINA '!H19</f>
        <v>1533413.4197604978</v>
      </c>
      <c r="J19" s="7">
        <f>[1]FOFIE!B17</f>
        <v>3.9474000000000002E-2</v>
      </c>
      <c r="K19" s="6">
        <f>FOFIR!K19</f>
        <v>1497234.9326887063</v>
      </c>
      <c r="L19" s="8">
        <f>[1]F.C!B17</f>
        <v>3.241463</v>
      </c>
      <c r="M19" s="6">
        <f>FOCO!N20</f>
        <v>4092986.5334191322</v>
      </c>
      <c r="N19" s="6">
        <f>'[2]PORCENTAJEISAN CONCENTRADO'!O19</f>
        <v>561</v>
      </c>
      <c r="O19" s="7">
        <f>'[3]ISANYFCISAN CONCENTRADO'!B17</f>
        <v>3.618474</v>
      </c>
      <c r="P19" s="6">
        <f>'ISAN y fondo compensacion isan'!L20</f>
        <v>203539.18097720007</v>
      </c>
      <c r="Q19" s="9">
        <f t="shared" si="1"/>
        <v>2.9971927420034397</v>
      </c>
      <c r="R19" s="6">
        <f t="shared" si="0"/>
        <v>48586779.047959134</v>
      </c>
    </row>
    <row r="20" spans="1:18" x14ac:dyDescent="0.2">
      <c r="A20" s="10" t="s">
        <v>26</v>
      </c>
      <c r="B20" s="255">
        <v>3.3911579999999999</v>
      </c>
      <c r="C20" s="4">
        <f>'FGP '!T22</f>
        <v>32685295.193556819</v>
      </c>
      <c r="D20" s="5">
        <v>3.3300000000000003E-2</v>
      </c>
      <c r="E20" s="6">
        <f>'FFM '!D22</f>
        <v>14300152.199999999</v>
      </c>
      <c r="F20" s="7">
        <f>[1]IEPS!$B$7</f>
        <v>5</v>
      </c>
      <c r="G20" s="6">
        <f>'IEPS '!G20</f>
        <v>1001169</v>
      </c>
      <c r="H20" s="7">
        <f>[1]IEPSGAS!B18</f>
        <v>2.1630829999999999</v>
      </c>
      <c r="I20" s="6">
        <f>'GASOLINA '!H20</f>
        <v>1006226.3461317454</v>
      </c>
      <c r="J20" s="7">
        <f>[1]FOFIE!B18</f>
        <v>4.6545000000000003E-2</v>
      </c>
      <c r="K20" s="6">
        <f>FOFIR!K20</f>
        <v>977623.00285684527</v>
      </c>
      <c r="L20" s="8">
        <f>[1]F.C!B18</f>
        <v>3.0126210000000002</v>
      </c>
      <c r="M20" s="6">
        <f>FOCO!N21</f>
        <v>2200004.5877098502</v>
      </c>
      <c r="N20" s="6">
        <f>'[2]PORCENTAJEISAN CONCENTRADO'!O20</f>
        <v>55</v>
      </c>
      <c r="O20" s="7">
        <f>'[3]ISANYFCISAN CONCENTRADO'!B18</f>
        <v>3.3911579999999999</v>
      </c>
      <c r="P20" s="6">
        <f>'ISAN y fondo compensacion isan'!L21</f>
        <v>190752.64509212392</v>
      </c>
      <c r="Q20" s="9">
        <f t="shared" si="1"/>
        <v>3.230031819043329</v>
      </c>
      <c r="R20" s="6">
        <f t="shared" si="0"/>
        <v>52361277.975347377</v>
      </c>
    </row>
    <row r="21" spans="1:18" x14ac:dyDescent="0.2">
      <c r="A21" s="10" t="s">
        <v>27</v>
      </c>
      <c r="B21" s="255">
        <v>4.22668</v>
      </c>
      <c r="C21" s="4">
        <f>'FGP '!T23</f>
        <v>46007200.440795474</v>
      </c>
      <c r="D21" s="5">
        <v>4.6899999999999997E-2</v>
      </c>
      <c r="E21" s="6">
        <f>'FFM '!D23</f>
        <v>20140454.600000001</v>
      </c>
      <c r="F21" s="7">
        <f>[1]IEPS!$B$7</f>
        <v>5</v>
      </c>
      <c r="G21" s="6">
        <f>'IEPS '!G21</f>
        <v>743544</v>
      </c>
      <c r="H21" s="7">
        <f>[1]IEPSGAS!B19</f>
        <v>3.9742700000000002</v>
      </c>
      <c r="I21" s="6">
        <f>'GASOLINA '!H21</f>
        <v>1805813.3166762905</v>
      </c>
      <c r="J21" s="7">
        <f>[1]FOFIE!B19</f>
        <v>0.35610900000000001</v>
      </c>
      <c r="K21" s="6">
        <f>FOFIR!K21</f>
        <v>1767655.254011848</v>
      </c>
      <c r="L21" s="8">
        <f>[1]F.C!B19</f>
        <v>3.5975600000000001</v>
      </c>
      <c r="M21" s="6">
        <f>FOCO!N22</f>
        <v>2861724.6510537118</v>
      </c>
      <c r="N21" s="6">
        <f>'[2]PORCENTAJEISAN CONCENTRADO'!O21</f>
        <v>1875</v>
      </c>
      <c r="O21" s="7">
        <f>'[3]ISANYFCISAN CONCENTRADO'!B19</f>
        <v>4.22668</v>
      </c>
      <c r="P21" s="6">
        <f>'ISAN y fondo compensacion isan'!L22</f>
        <v>237750.72325881288</v>
      </c>
      <c r="Q21" s="9">
        <f t="shared" si="1"/>
        <v>4.5380973895692795</v>
      </c>
      <c r="R21" s="6">
        <f t="shared" si="0"/>
        <v>73566017.985796139</v>
      </c>
    </row>
    <row r="22" spans="1:18" x14ac:dyDescent="0.2">
      <c r="A22" s="10" t="s">
        <v>28</v>
      </c>
      <c r="B22" s="255">
        <v>2.4671799999999999</v>
      </c>
      <c r="C22" s="4">
        <f>'FGP '!T24</f>
        <v>20921480.962813422</v>
      </c>
      <c r="D22" s="5">
        <v>2.1299999999999999E-2</v>
      </c>
      <c r="E22" s="6">
        <f>'FFM '!D24</f>
        <v>9146944.1999999993</v>
      </c>
      <c r="F22" s="7">
        <f>[1]IEPS!$B$7</f>
        <v>5</v>
      </c>
      <c r="G22" s="6">
        <f>'IEPS '!G22</f>
        <v>1497870</v>
      </c>
      <c r="H22" s="7">
        <f>[1]IEPSGAS!B20</f>
        <v>0.69217899999999999</v>
      </c>
      <c r="I22" s="6">
        <f>'GASOLINA '!H22</f>
        <v>338629.68024093093</v>
      </c>
      <c r="J22" s="7">
        <f>[1]FOFIE!B20</f>
        <v>9.8569999999999994E-3</v>
      </c>
      <c r="K22" s="6">
        <f>FOFIR!K22</f>
        <v>331330.34929235681</v>
      </c>
      <c r="L22" s="8">
        <f>[1]F.C!B20</f>
        <v>5.1672719999999996</v>
      </c>
      <c r="M22" s="6">
        <f>FOCO!N23</f>
        <v>1037272.0060988953</v>
      </c>
      <c r="N22" s="6">
        <f>'[2]PORCENTAJEISAN CONCENTRADO'!O22</f>
        <v>911</v>
      </c>
      <c r="O22" s="7">
        <f>'[3]ISANYFCISAN CONCENTRADO'!B20</f>
        <v>2.4671799999999999</v>
      </c>
      <c r="P22" s="6">
        <f>'ISAN y fondo compensacion isan'!L23</f>
        <v>138778.89499887219</v>
      </c>
      <c r="Q22" s="9">
        <f t="shared" si="1"/>
        <v>2.0611749476252559</v>
      </c>
      <c r="R22" s="6">
        <f t="shared" si="0"/>
        <v>33413217.093444474</v>
      </c>
    </row>
    <row r="23" spans="1:18" x14ac:dyDescent="0.2">
      <c r="A23" s="10" t="s">
        <v>29</v>
      </c>
      <c r="B23" s="255">
        <v>3.1368070000000001</v>
      </c>
      <c r="C23" s="4">
        <f>'FGP '!T25</f>
        <v>27594830.374607865</v>
      </c>
      <c r="D23" s="5">
        <v>2.81E-2</v>
      </c>
      <c r="E23" s="6">
        <f>'FFM '!D25</f>
        <v>12067095.4</v>
      </c>
      <c r="F23" s="7">
        <f>[1]IEPS!$B$7</f>
        <v>5</v>
      </c>
      <c r="G23" s="6">
        <f>'IEPS '!G23</f>
        <v>1163988</v>
      </c>
      <c r="H23" s="7">
        <f>[1]IEPSGAS!B21</f>
        <v>2.0656620000000001</v>
      </c>
      <c r="I23" s="6">
        <f>'GASOLINA '!H23</f>
        <v>1026811.271912083</v>
      </c>
      <c r="J23" s="7">
        <f>[1]FOFIE!B21</f>
        <v>4.1908000000000001E-2</v>
      </c>
      <c r="K23" s="6">
        <f>FOFIR!K23</f>
        <v>1008133.4291356073</v>
      </c>
      <c r="L23" s="8">
        <f>[1]F.C!B21</f>
        <v>3.0150969999999999</v>
      </c>
      <c r="M23" s="6">
        <f>FOCO!N24</f>
        <v>1964928.987581064</v>
      </c>
      <c r="N23" s="6">
        <f>'[2]PORCENTAJEISAN CONCENTRADO'!O23</f>
        <v>54</v>
      </c>
      <c r="O23" s="7">
        <f>'[3]ISANYFCISAN CONCENTRADO'!B21</f>
        <v>3.1368070000000001</v>
      </c>
      <c r="P23" s="6">
        <f>'ISAN y fondo compensacion isan'!L24</f>
        <v>176445.37853181324</v>
      </c>
      <c r="Q23" s="9">
        <f t="shared" si="1"/>
        <v>2.7760746881897052</v>
      </c>
      <c r="R23" s="6">
        <f t="shared" si="0"/>
        <v>45002286.841768436</v>
      </c>
    </row>
    <row r="24" spans="1:18" x14ac:dyDescent="0.2">
      <c r="A24" s="10" t="s">
        <v>30</v>
      </c>
      <c r="B24" s="255">
        <v>6.9649960000000002</v>
      </c>
      <c r="C24" s="4">
        <f>'FGP '!T26</f>
        <v>81785252.504949495</v>
      </c>
      <c r="D24" s="5">
        <v>8.3400000000000002E-2</v>
      </c>
      <c r="E24" s="6">
        <f>'FFM '!D26</f>
        <v>35814795.600000001</v>
      </c>
      <c r="F24" s="7">
        <f>[1]IEPS!$B$7</f>
        <v>5</v>
      </c>
      <c r="G24" s="6">
        <f>'IEPS '!G24</f>
        <v>467370</v>
      </c>
      <c r="H24" s="7">
        <f>[1]IEPSGAS!B22</f>
        <v>8.5784149999999997</v>
      </c>
      <c r="I24" s="6">
        <f>'GASOLINA '!H24</f>
        <v>4035426.9342202935</v>
      </c>
      <c r="J24" s="7">
        <f>[1]FOFIE!B22</f>
        <v>1.3145640000000001</v>
      </c>
      <c r="K24" s="6">
        <f>FOFIR!K24</f>
        <v>4012137.3510233033</v>
      </c>
      <c r="L24" s="8">
        <f>[1]F.C!B22</f>
        <v>6.3827340000000001</v>
      </c>
      <c r="M24" s="6">
        <f>FOCO!N25</f>
        <v>7031913.4974019825</v>
      </c>
      <c r="N24" s="6">
        <f>'[2]PORCENTAJEISAN CONCENTRADO'!O24</f>
        <v>9917</v>
      </c>
      <c r="O24" s="7">
        <f>'[3]ISANYFCISAN CONCENTRADO'!B22</f>
        <v>6.9649960000000002</v>
      </c>
      <c r="P24" s="6">
        <f>'ISAN y fondo compensacion isan'!L25</f>
        <v>391781.00266203168</v>
      </c>
      <c r="Q24" s="9">
        <f t="shared" si="1"/>
        <v>8.2382673672923126</v>
      </c>
      <c r="R24" s="6">
        <f t="shared" si="0"/>
        <v>133548593.89025712</v>
      </c>
    </row>
    <row r="25" spans="1:18" x14ac:dyDescent="0.2">
      <c r="A25" s="10" t="s">
        <v>31</v>
      </c>
      <c r="B25" s="255">
        <v>4.07315</v>
      </c>
      <c r="C25" s="4">
        <f>'FGP '!T27</f>
        <v>34378960.34249524</v>
      </c>
      <c r="D25" s="5">
        <v>3.5000000000000003E-2</v>
      </c>
      <c r="E25" s="6">
        <f>'FFM '!D27</f>
        <v>15030190</v>
      </c>
      <c r="F25" s="7">
        <f>[1]IEPS!$B$7</f>
        <v>5</v>
      </c>
      <c r="G25" s="6">
        <f>'IEPS '!G25</f>
        <v>957888.00000000012</v>
      </c>
      <c r="H25" s="7">
        <f>[1]IEPSGAS!B23</f>
        <v>3.664218</v>
      </c>
      <c r="I25" s="6">
        <f>'GASOLINA '!H25</f>
        <v>1773062.3740557192</v>
      </c>
      <c r="J25" s="7">
        <f>[1]FOFIE!B23</f>
        <v>0.149257</v>
      </c>
      <c r="K25" s="6">
        <f>FOFIR!K25</f>
        <v>1739030.2597587709</v>
      </c>
      <c r="L25" s="8">
        <f>[1]F.C!B23</f>
        <v>3.4495339999999999</v>
      </c>
      <c r="M25" s="6">
        <f>FOCO!N26</f>
        <v>3730219.8387608817</v>
      </c>
      <c r="N25" s="6">
        <f>'[2]PORCENTAJEISAN CONCENTRADO'!O25</f>
        <v>7099</v>
      </c>
      <c r="O25" s="7">
        <f>'[3]ISANYFCISAN CONCENTRADO'!B23</f>
        <v>4.07315</v>
      </c>
      <c r="P25" s="6">
        <f>'ISAN y fondo compensacion isan'!L26</f>
        <v>229114.67809722666</v>
      </c>
      <c r="Q25" s="9">
        <f t="shared" si="1"/>
        <v>3.5683432706020679</v>
      </c>
      <c r="R25" s="6">
        <f t="shared" si="0"/>
        <v>57845564.49316784</v>
      </c>
    </row>
    <row r="26" spans="1:18" x14ac:dyDescent="0.2">
      <c r="A26" s="10" t="s">
        <v>32</v>
      </c>
      <c r="B26" s="255">
        <v>22.834076</v>
      </c>
      <c r="C26" s="4">
        <f>'FGP '!T28</f>
        <v>381969815.80029362</v>
      </c>
      <c r="D26" s="5">
        <v>0.39</v>
      </c>
      <c r="E26" s="6">
        <f>'FFM '!D28</f>
        <v>167479260</v>
      </c>
      <c r="F26" s="7">
        <f>[1]IEPS!$B$7</f>
        <v>5</v>
      </c>
      <c r="G26" s="6">
        <f>'IEPS '!G26</f>
        <v>193257</v>
      </c>
      <c r="H26" s="7">
        <f>[1]IEPSGAS!B24</f>
        <v>35.046669000000001</v>
      </c>
      <c r="I26" s="6">
        <f>'GASOLINA '!H26</f>
        <v>16148804.640919939</v>
      </c>
      <c r="J26" s="7">
        <f>[1]FOFIE!B24</f>
        <v>74.178864000000004</v>
      </c>
      <c r="K26" s="6">
        <f>FOFIR!K26</f>
        <v>21135936.541913077</v>
      </c>
      <c r="L26" s="8">
        <f>[1]F.C!B24</f>
        <v>24.625153999999998</v>
      </c>
      <c r="M26" s="6">
        <f>FOCO!N27</f>
        <v>24002127.737366222</v>
      </c>
      <c r="N26" s="6">
        <f>'[2]PORCENTAJEISAN CONCENTRADO'!O26</f>
        <v>365805</v>
      </c>
      <c r="O26" s="7">
        <f>'[3]ISANYFCISAN CONCENTRADO'!B24</f>
        <v>22.834076</v>
      </c>
      <c r="P26" s="6">
        <f>'ISAN y fondo compensacion isan'!L27</f>
        <v>1284416.7485547091</v>
      </c>
      <c r="Q26" s="9">
        <f t="shared" si="1"/>
        <v>37.788440351433465</v>
      </c>
      <c r="R26" s="6">
        <f t="shared" si="0"/>
        <v>612579423.46904755</v>
      </c>
    </row>
    <row r="27" spans="1:18" x14ac:dyDescent="0.2">
      <c r="A27" s="10" t="s">
        <v>33</v>
      </c>
      <c r="B27" s="255">
        <v>3.5973389999999998</v>
      </c>
      <c r="C27" s="4">
        <f>'FGP '!T29</f>
        <v>37187472.251065984</v>
      </c>
      <c r="D27" s="5">
        <v>3.7900000000000003E-2</v>
      </c>
      <c r="E27" s="6">
        <f>'FFM '!D29</f>
        <v>16275548.6</v>
      </c>
      <c r="F27" s="7">
        <f>[1]IEPS!$B$7</f>
        <v>5</v>
      </c>
      <c r="G27" s="6">
        <f>'IEPS '!G27</f>
        <v>893996.99999999988</v>
      </c>
      <c r="H27" s="7">
        <f>[1]IEPSGAS!B25</f>
        <v>2.7677960000000001</v>
      </c>
      <c r="I27" s="6">
        <f>'GASOLINA '!H27</f>
        <v>1358343.3558102737</v>
      </c>
      <c r="J27" s="7">
        <f>[1]FOFIE!B25</f>
        <v>9.2938000000000007E-2</v>
      </c>
      <c r="K27" s="6">
        <f>FOFIR!K27</f>
        <v>1329305.391717585</v>
      </c>
      <c r="L27" s="8">
        <f>[1]F.C!B25</f>
        <v>3.108533</v>
      </c>
      <c r="M27" s="6">
        <f>FOCO!N28</f>
        <v>2321548.8143508006</v>
      </c>
      <c r="N27" s="6">
        <f>'[2]PORCENTAJEISAN CONCENTRADO'!O27</f>
        <v>1729</v>
      </c>
      <c r="O27" s="7">
        <f>'[3]ISANYFCISAN CONCENTRADO'!B25</f>
        <v>3.5973389999999998</v>
      </c>
      <c r="P27" s="6">
        <f>'ISAN y fondo compensacion isan'!L28</f>
        <v>202350.31242735469</v>
      </c>
      <c r="Q27" s="9">
        <f t="shared" si="1"/>
        <v>3.6747374180464512</v>
      </c>
      <c r="R27" s="6">
        <f t="shared" si="0"/>
        <v>59570294.725372002</v>
      </c>
    </row>
    <row r="28" spans="1:18" ht="13.5" thickBot="1" x14ac:dyDescent="0.25">
      <c r="A28" s="11" t="s">
        <v>34</v>
      </c>
      <c r="B28" s="253">
        <f>[1]F.G.P.!B26</f>
        <v>4.8019290000000003</v>
      </c>
      <c r="C28" s="4">
        <f>'FGP '!T30</f>
        <v>30508718.684856921</v>
      </c>
      <c r="D28" s="5">
        <v>3.1E-2</v>
      </c>
      <c r="E28" s="6">
        <f>'FFM '!D30</f>
        <v>13312454</v>
      </c>
      <c r="F28" s="7">
        <f>[1]IEPS!$B$7</f>
        <v>5</v>
      </c>
      <c r="G28" s="6">
        <f>'IEPS '!G28</f>
        <v>1065060</v>
      </c>
      <c r="H28" s="7">
        <f>[1]IEPSGAS!B26</f>
        <v>4.5256179999999997</v>
      </c>
      <c r="I28" s="6">
        <f>'GASOLINA '!H28</f>
        <v>2064892.0914700651</v>
      </c>
      <c r="J28" s="7">
        <f>[1]FOFIE!B26</f>
        <v>1.1298550000000001</v>
      </c>
      <c r="K28" s="6">
        <f>FOFIR!K28</f>
        <v>2076517.624941071</v>
      </c>
      <c r="L28" s="8">
        <f>[1]F.C!B26</f>
        <v>3.884144</v>
      </c>
      <c r="M28" s="6">
        <f>FOCO!N29</f>
        <v>3264212.2557272115</v>
      </c>
      <c r="N28" s="6">
        <f>'[2]PORCENTAJEISAN CONCENTRADO'!O28</f>
        <v>12222</v>
      </c>
      <c r="O28" s="7">
        <f>'[3]ISANYFCISAN CONCENTRADO'!B26</f>
        <v>4.8019280000000002</v>
      </c>
      <c r="P28" s="6">
        <f>'ISAN y fondo compensacion isan'!L29</f>
        <v>270108.52166393772</v>
      </c>
      <c r="Q28" s="9">
        <f t="shared" si="1"/>
        <v>3.2431655137847839</v>
      </c>
      <c r="R28" s="6">
        <f t="shared" si="0"/>
        <v>52574185.178659201</v>
      </c>
    </row>
    <row r="29" spans="1:18" ht="13.5" thickBot="1" x14ac:dyDescent="0.25">
      <c r="A29" s="12" t="s">
        <v>35</v>
      </c>
      <c r="B29" s="18">
        <v>100</v>
      </c>
      <c r="C29" s="13">
        <f>SUM(C9:C28)</f>
        <v>981450000.00000012</v>
      </c>
      <c r="D29" s="262">
        <v>100</v>
      </c>
      <c r="E29" s="13">
        <f>SUM(E9:E28)</f>
        <v>429434000</v>
      </c>
      <c r="F29" s="14">
        <f>SUM(F9:F28)</f>
        <v>100</v>
      </c>
      <c r="G29" s="13">
        <f>SUM(G9:G28)</f>
        <v>22950000</v>
      </c>
      <c r="H29" s="15">
        <f t="shared" ref="H29:R29" si="2">SUM(H9:H28)</f>
        <v>100</v>
      </c>
      <c r="I29" s="13">
        <f>SUM(I9:I28)</f>
        <v>45675000</v>
      </c>
      <c r="J29" s="16">
        <f t="shared" si="2"/>
        <v>100.00000000000001</v>
      </c>
      <c r="K29" s="13">
        <f>SUM(K9:K28)</f>
        <v>51525000</v>
      </c>
      <c r="L29" s="17">
        <f t="shared" si="2"/>
        <v>100</v>
      </c>
      <c r="M29" s="13">
        <f t="shared" si="2"/>
        <v>83925000.000000015</v>
      </c>
      <c r="N29" s="13">
        <f>SUM(N9:N28)</f>
        <v>492228</v>
      </c>
      <c r="O29" s="14">
        <f t="shared" si="2"/>
        <v>100.00000000000001</v>
      </c>
      <c r="P29" s="13">
        <f t="shared" si="2"/>
        <v>5625000.0000000009</v>
      </c>
      <c r="Q29" s="18">
        <f t="shared" si="2"/>
        <v>100</v>
      </c>
      <c r="R29" s="13">
        <f t="shared" si="2"/>
        <v>1621076228</v>
      </c>
    </row>
    <row r="30" spans="1:18" x14ac:dyDescent="0.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20"/>
    </row>
    <row r="31" spans="1:18" x14ac:dyDescent="0.2">
      <c r="A31" s="21" t="s">
        <v>36</v>
      </c>
      <c r="B31" s="21"/>
      <c r="C31" s="21"/>
      <c r="D31" s="21"/>
    </row>
    <row r="33" spans="1:18" x14ac:dyDescent="0.2">
      <c r="A33" s="1" t="s">
        <v>37</v>
      </c>
    </row>
    <row r="34" spans="1:18" ht="24.75" customHeight="1" x14ac:dyDescent="0.2">
      <c r="A34" s="342" t="s">
        <v>257</v>
      </c>
      <c r="B34" s="343"/>
      <c r="C34" s="343"/>
      <c r="D34" s="343"/>
      <c r="E34" s="343"/>
      <c r="F34" s="343"/>
      <c r="G34" s="343"/>
      <c r="H34" s="343"/>
      <c r="I34" s="343"/>
      <c r="J34" s="343"/>
      <c r="K34" s="343"/>
      <c r="L34" s="343"/>
      <c r="M34" s="343"/>
      <c r="N34" s="343"/>
      <c r="O34" s="343"/>
      <c r="P34" s="343"/>
      <c r="Q34" s="343"/>
      <c r="R34" s="343"/>
    </row>
    <row r="36" spans="1:18" x14ac:dyDescent="0.2">
      <c r="A36" s="1" t="s">
        <v>258</v>
      </c>
    </row>
  </sheetData>
  <mergeCells count="14">
    <mergeCell ref="A34:R34"/>
    <mergeCell ref="L7:M7"/>
    <mergeCell ref="O7:P7"/>
    <mergeCell ref="A1:R1"/>
    <mergeCell ref="A2:R2"/>
    <mergeCell ref="A3:R3"/>
    <mergeCell ref="A4:R4"/>
    <mergeCell ref="A7:A8"/>
    <mergeCell ref="B7:C7"/>
    <mergeCell ref="D7:E7"/>
    <mergeCell ref="F7:G7"/>
    <mergeCell ref="H7:I7"/>
    <mergeCell ref="J7:K7"/>
    <mergeCell ref="Q7:R7"/>
  </mergeCells>
  <printOptions horizontalCentered="1"/>
  <pageMargins left="0.78740157480314965" right="0.78740157480314965" top="0.98425196850393704" bottom="0.98425196850393704" header="0" footer="0"/>
  <pageSetup paperSize="5" scale="7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  <pageSetUpPr fitToPage="1"/>
  </sheetPr>
  <dimension ref="B2:V33"/>
  <sheetViews>
    <sheetView topLeftCell="I11" zoomScale="90" zoomScaleNormal="90" workbookViewId="0">
      <selection activeCell="B3" sqref="B3:T3"/>
    </sheetView>
  </sheetViews>
  <sheetFormatPr baseColWidth="10" defaultRowHeight="15" x14ac:dyDescent="0.25"/>
  <cols>
    <col min="1" max="1" width="3.5703125" customWidth="1"/>
    <col min="2" max="2" width="20.42578125" customWidth="1"/>
    <col min="3" max="3" width="19.7109375" bestFit="1" customWidth="1"/>
    <col min="4" max="4" width="15.85546875" customWidth="1"/>
    <col min="5" max="5" width="12.7109375" hidden="1" customWidth="1"/>
    <col min="6" max="7" width="14.85546875" bestFit="1" customWidth="1"/>
    <col min="8" max="8" width="14.85546875" customWidth="1"/>
    <col min="9" max="9" width="18.85546875" style="23" bestFit="1" customWidth="1"/>
    <col min="10" max="10" width="18.5703125" customWidth="1"/>
    <col min="11" max="12" width="19.42578125" customWidth="1"/>
    <col min="13" max="13" width="18.42578125" customWidth="1"/>
    <col min="14" max="14" width="15.42578125" hidden="1" customWidth="1"/>
    <col min="15" max="17" width="14.42578125" hidden="1" customWidth="1"/>
    <col min="18" max="18" width="18.85546875" customWidth="1"/>
    <col min="19" max="19" width="19" customWidth="1"/>
    <col min="20" max="20" width="13.85546875" customWidth="1"/>
  </cols>
  <sheetData>
    <row r="2" spans="2:22" x14ac:dyDescent="0.25">
      <c r="B2" s="22"/>
      <c r="C2" s="22"/>
      <c r="D2" s="22"/>
      <c r="E2" s="22"/>
      <c r="F2" s="22"/>
      <c r="G2" s="22"/>
      <c r="H2" s="22"/>
      <c r="I2" s="60"/>
    </row>
    <row r="3" spans="2:22" x14ac:dyDescent="0.25"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369"/>
      <c r="S3" s="369"/>
      <c r="T3" s="369"/>
    </row>
    <row r="4" spans="2:22" x14ac:dyDescent="0.25">
      <c r="B4" s="369" t="s">
        <v>156</v>
      </c>
      <c r="C4" s="369"/>
      <c r="D4" s="369"/>
      <c r="E4" s="369"/>
      <c r="F4" s="369"/>
      <c r="G4" s="369"/>
      <c r="H4" s="369"/>
      <c r="I4" s="369"/>
      <c r="J4" s="369"/>
      <c r="K4" s="369"/>
      <c r="L4" s="369"/>
      <c r="M4" s="369"/>
      <c r="N4" s="369"/>
      <c r="O4" s="369"/>
      <c r="P4" s="369"/>
      <c r="Q4" s="369"/>
      <c r="R4" s="369"/>
      <c r="S4" s="369"/>
      <c r="T4" s="369"/>
    </row>
    <row r="5" spans="2:22" ht="15.75" thickBot="1" x14ac:dyDescent="0.3">
      <c r="B5" s="60"/>
      <c r="C5" s="60"/>
      <c r="D5" s="60"/>
      <c r="E5" s="60"/>
      <c r="F5" s="60"/>
      <c r="G5" s="60"/>
      <c r="H5" s="60"/>
      <c r="I5" s="60"/>
      <c r="J5" s="23"/>
    </row>
    <row r="6" spans="2:22" ht="33.75" customHeight="1" thickBot="1" x14ac:dyDescent="0.3">
      <c r="B6" s="359" t="s">
        <v>38</v>
      </c>
      <c r="C6" s="362" t="s">
        <v>157</v>
      </c>
      <c r="D6" s="222"/>
      <c r="E6" s="223"/>
      <c r="F6" s="364" t="s">
        <v>158</v>
      </c>
      <c r="G6" s="364"/>
      <c r="H6" s="364"/>
      <c r="I6" s="365"/>
      <c r="J6" s="366" t="s">
        <v>159</v>
      </c>
      <c r="K6" s="367"/>
      <c r="L6" s="367"/>
      <c r="M6" s="368"/>
      <c r="N6" s="359" t="s">
        <v>160</v>
      </c>
      <c r="O6" s="366" t="s">
        <v>161</v>
      </c>
      <c r="P6" s="367"/>
      <c r="Q6" s="367"/>
      <c r="R6" s="367"/>
      <c r="S6" s="368"/>
      <c r="T6" s="359" t="s">
        <v>177</v>
      </c>
    </row>
    <row r="7" spans="2:22" ht="15" customHeight="1" x14ac:dyDescent="0.25">
      <c r="B7" s="360"/>
      <c r="C7" s="363"/>
      <c r="D7" s="70" t="s">
        <v>95</v>
      </c>
      <c r="E7" s="372" t="s">
        <v>96</v>
      </c>
      <c r="F7" s="372"/>
      <c r="G7" s="63" t="s">
        <v>124</v>
      </c>
      <c r="H7" s="63" t="s">
        <v>162</v>
      </c>
      <c r="I7" s="63" t="s">
        <v>77</v>
      </c>
      <c r="J7" s="373" t="s">
        <v>163</v>
      </c>
      <c r="K7" s="359" t="s">
        <v>164</v>
      </c>
      <c r="L7" s="63" t="s">
        <v>162</v>
      </c>
      <c r="M7" s="359" t="s">
        <v>165</v>
      </c>
      <c r="N7" s="370"/>
      <c r="O7" s="375" t="s">
        <v>166</v>
      </c>
      <c r="P7" s="224"/>
      <c r="Q7" s="224"/>
      <c r="R7" s="63" t="s">
        <v>124</v>
      </c>
      <c r="S7" s="116" t="s">
        <v>75</v>
      </c>
      <c r="T7" s="360"/>
    </row>
    <row r="8" spans="2:22" x14ac:dyDescent="0.25">
      <c r="B8" s="360"/>
      <c r="C8" s="363"/>
      <c r="D8" s="70" t="s">
        <v>45</v>
      </c>
      <c r="E8" s="372">
        <v>2010</v>
      </c>
      <c r="F8" s="372"/>
      <c r="G8" s="70" t="s">
        <v>135</v>
      </c>
      <c r="H8" s="70" t="s">
        <v>86</v>
      </c>
      <c r="I8" s="70" t="s">
        <v>167</v>
      </c>
      <c r="J8" s="373"/>
      <c r="K8" s="374"/>
      <c r="L8" s="70" t="s">
        <v>86</v>
      </c>
      <c r="M8" s="374"/>
      <c r="N8" s="370"/>
      <c r="O8" s="376"/>
      <c r="P8" s="225"/>
      <c r="Q8" s="225"/>
      <c r="R8" s="70" t="s">
        <v>168</v>
      </c>
      <c r="S8" s="61" t="s">
        <v>169</v>
      </c>
      <c r="T8" s="360"/>
    </row>
    <row r="9" spans="2:22" x14ac:dyDescent="0.25">
      <c r="B9" s="360"/>
      <c r="C9" s="226">
        <v>2014</v>
      </c>
      <c r="D9" s="75" t="s">
        <v>47</v>
      </c>
      <c r="E9" s="227" t="s">
        <v>99</v>
      </c>
      <c r="F9" s="146" t="s">
        <v>98</v>
      </c>
      <c r="G9" s="70" t="s">
        <v>139</v>
      </c>
      <c r="H9" s="228">
        <v>0.6</v>
      </c>
      <c r="I9" s="228">
        <v>0.6</v>
      </c>
      <c r="J9" s="61" t="s">
        <v>170</v>
      </c>
      <c r="K9" s="70"/>
      <c r="L9" s="228">
        <v>0.3</v>
      </c>
      <c r="M9" s="228">
        <v>0.3</v>
      </c>
      <c r="N9" s="370"/>
      <c r="O9" s="376"/>
      <c r="P9" s="225"/>
      <c r="Q9" s="225"/>
      <c r="R9" s="70" t="s">
        <v>171</v>
      </c>
      <c r="S9" s="61" t="s">
        <v>172</v>
      </c>
      <c r="T9" s="360"/>
    </row>
    <row r="10" spans="2:22" ht="15.75" thickBot="1" x14ac:dyDescent="0.3">
      <c r="B10" s="361"/>
      <c r="C10" s="81" t="s">
        <v>49</v>
      </c>
      <c r="D10" s="82" t="s">
        <v>50</v>
      </c>
      <c r="E10" s="314" t="s">
        <v>173</v>
      </c>
      <c r="F10" s="149" t="s">
        <v>101</v>
      </c>
      <c r="G10" s="82" t="s">
        <v>102</v>
      </c>
      <c r="H10" s="75" t="s">
        <v>103</v>
      </c>
      <c r="I10" s="75" t="s">
        <v>104</v>
      </c>
      <c r="J10" s="230" t="s">
        <v>174</v>
      </c>
      <c r="K10" s="70" t="s">
        <v>175</v>
      </c>
      <c r="L10" s="82" t="s">
        <v>211</v>
      </c>
      <c r="M10" s="229" t="s">
        <v>212</v>
      </c>
      <c r="N10" s="371"/>
      <c r="O10" s="377"/>
      <c r="P10" s="231"/>
      <c r="Q10" s="231"/>
      <c r="R10" s="229" t="s">
        <v>176</v>
      </c>
      <c r="S10" s="295" t="s">
        <v>213</v>
      </c>
      <c r="T10" s="361"/>
    </row>
    <row r="11" spans="2:22" x14ac:dyDescent="0.25">
      <c r="B11" s="236" t="s">
        <v>51</v>
      </c>
      <c r="C11" s="239">
        <v>3.62</v>
      </c>
      <c r="D11" s="91">
        <f>[4]Datos!I$13*C11%</f>
        <v>35350314.182820007</v>
      </c>
      <c r="E11" s="88">
        <f>F11/F$31*100</f>
        <v>3.3707564846877225</v>
      </c>
      <c r="F11" s="95">
        <v>36572</v>
      </c>
      <c r="G11" s="90">
        <f>E11</f>
        <v>3.3707564846877225</v>
      </c>
      <c r="H11" s="257">
        <f>G11*0.6</f>
        <v>2.0224538908126335</v>
      </c>
      <c r="I11" s="259">
        <f>[4]Datos!$K$18*'FGP '!H11/100</f>
        <v>99544.854890721399</v>
      </c>
      <c r="J11" s="153">
        <v>1.3519401805459326</v>
      </c>
      <c r="K11" s="232">
        <f>J11/$J$31*100</f>
        <v>6.3423828522887211</v>
      </c>
      <c r="L11" s="233">
        <f>K11*0.3</f>
        <v>1.9027148556866162</v>
      </c>
      <c r="M11" s="139">
        <f>[4]Datos!$K$18*'FGP '!L11/100</f>
        <v>93651.31885980349</v>
      </c>
      <c r="N11" s="234">
        <f>I11+M11</f>
        <v>193196.17375052487</v>
      </c>
      <c r="O11" s="235">
        <f>L11+H11</f>
        <v>3.9251687464992497</v>
      </c>
      <c r="P11" s="235">
        <f>1/O11</f>
        <v>0.2547661169706073</v>
      </c>
      <c r="Q11" s="235">
        <f>P11/$P$31*100</f>
        <v>3.8691721754794064</v>
      </c>
      <c r="R11" s="236">
        <f>Q11*0.1</f>
        <v>0.38691721754794067</v>
      </c>
      <c r="S11" s="237">
        <f>R11*[4]Datos!$K$18/100</f>
        <v>19044.003154037615</v>
      </c>
      <c r="T11" s="238">
        <f>D11+I11+M11+S11</f>
        <v>35562554.359724566</v>
      </c>
      <c r="U11" s="252"/>
      <c r="V11" s="252"/>
    </row>
    <row r="12" spans="2:22" x14ac:dyDescent="0.25">
      <c r="B12" s="236" t="s">
        <v>52</v>
      </c>
      <c r="C12" s="239">
        <v>2.4700000000000002</v>
      </c>
      <c r="D12" s="91">
        <f>[4]Datos!I$13*C12%</f>
        <v>24120241.997670002</v>
      </c>
      <c r="E12" s="88">
        <f t="shared" ref="E12:E30" si="0">F12/F$31*100</f>
        <v>1.4036216369164749</v>
      </c>
      <c r="F12" s="99">
        <v>15229</v>
      </c>
      <c r="G12" s="90">
        <f t="shared" ref="G12:G31" si="1">E12</f>
        <v>1.4036216369164749</v>
      </c>
      <c r="H12" s="90">
        <f t="shared" ref="H12:H30" si="2">G12*0.6</f>
        <v>0.8421729821498849</v>
      </c>
      <c r="I12" s="260">
        <f>[4]Datos!$K$18*'FGP '!H12/100</f>
        <v>41451.61859156721</v>
      </c>
      <c r="J12" s="88">
        <v>1.0390972821151596</v>
      </c>
      <c r="K12" s="233">
        <f t="shared" ref="K12:K30" si="3">J12/$J$31*100</f>
        <v>4.8747369734108545</v>
      </c>
      <c r="L12" s="233">
        <f t="shared" ref="L12:L30" si="4">K12*0.3</f>
        <v>1.4624210920232563</v>
      </c>
      <c r="M12" s="139">
        <f>[4]Datos!$K$18*'FGP '!L12/100</f>
        <v>71980.130699588859</v>
      </c>
      <c r="N12" s="234">
        <f t="shared" ref="N12:N31" si="5">I12+M12</f>
        <v>113431.74929115607</v>
      </c>
      <c r="O12" s="235">
        <f t="shared" ref="O12:O30" si="6">L12+H12</f>
        <v>2.3045940741731412</v>
      </c>
      <c r="P12" s="235">
        <f t="shared" ref="P12:P30" si="7">1/O12</f>
        <v>0.43391589486698962</v>
      </c>
      <c r="Q12" s="235">
        <f t="shared" ref="Q12:Q30" si="8">P12/$P$31*100</f>
        <v>6.5899473873572436</v>
      </c>
      <c r="R12" s="236">
        <f t="shared" ref="R12:R30" si="9">Q12*0.1</f>
        <v>0.65899473873572445</v>
      </c>
      <c r="S12" s="237">
        <f>R12*[4]Datos!$K$18/100</f>
        <v>32435.614942419423</v>
      </c>
      <c r="T12" s="234">
        <f t="shared" ref="T12:T30" si="10">D12+I12+M12+S12</f>
        <v>24266109.361903578</v>
      </c>
      <c r="U12" s="252"/>
      <c r="V12" s="252"/>
    </row>
    <row r="13" spans="2:22" x14ac:dyDescent="0.25">
      <c r="B13" s="236" t="s">
        <v>53</v>
      </c>
      <c r="C13" s="239">
        <v>2.33</v>
      </c>
      <c r="D13" s="91">
        <f>[4]Datos!I$13*C13%</f>
        <v>22753102.77513</v>
      </c>
      <c r="E13" s="88">
        <f t="shared" si="0"/>
        <v>1.0311720319010782</v>
      </c>
      <c r="F13" s="95">
        <v>11188</v>
      </c>
      <c r="G13" s="90">
        <f t="shared" si="1"/>
        <v>1.0311720319010782</v>
      </c>
      <c r="H13" s="90">
        <f t="shared" si="2"/>
        <v>0.61870321914064685</v>
      </c>
      <c r="I13" s="260">
        <f>[4]Datos!$K$18*'FGP '!H13/100</f>
        <v>30452.472834884356</v>
      </c>
      <c r="J13" s="88">
        <v>0.84810774522444465</v>
      </c>
      <c r="K13" s="233">
        <f t="shared" si="3"/>
        <v>3.9787441024444163</v>
      </c>
      <c r="L13" s="233">
        <f t="shared" si="4"/>
        <v>1.1936232307333248</v>
      </c>
      <c r="M13" s="139">
        <f>[4]Datos!$K$18*'FGP '!L13/100</f>
        <v>58749.943243354101</v>
      </c>
      <c r="N13" s="234">
        <f t="shared" si="5"/>
        <v>89202.416078238457</v>
      </c>
      <c r="O13" s="235">
        <f t="shared" si="6"/>
        <v>1.8123264498739715</v>
      </c>
      <c r="P13" s="235">
        <f t="shared" si="7"/>
        <v>0.55177697156576822</v>
      </c>
      <c r="Q13" s="235">
        <f t="shared" si="8"/>
        <v>8.3799216741952804</v>
      </c>
      <c r="R13" s="236">
        <f t="shared" si="9"/>
        <v>0.83799216741952809</v>
      </c>
      <c r="S13" s="237">
        <f>R13*[4]Datos!$K$18/100</f>
        <v>41245.839563650225</v>
      </c>
      <c r="T13" s="234">
        <f t="shared" si="10"/>
        <v>22883551.030771889</v>
      </c>
      <c r="U13" s="252"/>
      <c r="V13" s="252"/>
    </row>
    <row r="14" spans="2:22" x14ac:dyDescent="0.25">
      <c r="B14" s="236" t="s">
        <v>54</v>
      </c>
      <c r="C14" s="239">
        <v>2.81</v>
      </c>
      <c r="D14" s="91">
        <f>[4]Datos!I$13*C14%</f>
        <v>27440437.252410002</v>
      </c>
      <c r="E14" s="88">
        <f t="shared" si="0"/>
        <v>11.447687005923617</v>
      </c>
      <c r="F14" s="95">
        <v>124205</v>
      </c>
      <c r="G14" s="90">
        <f t="shared" si="1"/>
        <v>11.447687005923617</v>
      </c>
      <c r="H14" s="90">
        <f t="shared" si="2"/>
        <v>6.8686122035541706</v>
      </c>
      <c r="I14" s="260">
        <f>[4]Datos!$K$18*'FGP '!H14/100</f>
        <v>338071.98681237153</v>
      </c>
      <c r="J14" s="88">
        <v>1.0187949501473199</v>
      </c>
      <c r="K14" s="233">
        <f t="shared" si="3"/>
        <v>4.7794922547559935</v>
      </c>
      <c r="L14" s="233">
        <f t="shared" si="4"/>
        <v>1.433847676426798</v>
      </c>
      <c r="M14" s="139">
        <f>[4]Datos!$K$18*'FGP '!L14/100</f>
        <v>70573.751784251101</v>
      </c>
      <c r="N14" s="234">
        <f t="shared" si="5"/>
        <v>408645.7385966226</v>
      </c>
      <c r="O14" s="235">
        <f t="shared" si="6"/>
        <v>8.3024598799809688</v>
      </c>
      <c r="P14" s="235">
        <f t="shared" si="7"/>
        <v>0.12044623093105417</v>
      </c>
      <c r="Q14" s="235">
        <f t="shared" si="8"/>
        <v>1.8292354214966819</v>
      </c>
      <c r="R14" s="236">
        <f t="shared" si="9"/>
        <v>0.18292354214966822</v>
      </c>
      <c r="S14" s="237">
        <f>R14*[4]Datos!$K$18/100</f>
        <v>9003.4672939163847</v>
      </c>
      <c r="T14" s="234">
        <f t="shared" si="10"/>
        <v>27858086.458300542</v>
      </c>
      <c r="U14" s="252"/>
      <c r="V14" s="252"/>
    </row>
    <row r="15" spans="2:22" x14ac:dyDescent="0.25">
      <c r="B15" s="236" t="s">
        <v>55</v>
      </c>
      <c r="C15" s="239">
        <v>4.6399999999999997</v>
      </c>
      <c r="D15" s="91">
        <f>[4]Datos!I$13*C15%</f>
        <v>45310899.947039999</v>
      </c>
      <c r="E15" s="88">
        <f t="shared" si="0"/>
        <v>6.4885126808905982</v>
      </c>
      <c r="F15" s="95">
        <v>70399</v>
      </c>
      <c r="G15" s="90">
        <f t="shared" si="1"/>
        <v>6.4885126808905982</v>
      </c>
      <c r="H15" s="90">
        <f t="shared" si="2"/>
        <v>3.8931076085343586</v>
      </c>
      <c r="I15" s="260">
        <f>[4]Datos!$K$18*'FGP '!H15/100</f>
        <v>191618.12970173615</v>
      </c>
      <c r="J15" s="88">
        <v>1.0316106450924525</v>
      </c>
      <c r="K15" s="233">
        <f t="shared" si="3"/>
        <v>4.8396147698123535</v>
      </c>
      <c r="L15" s="233">
        <f t="shared" si="4"/>
        <v>1.451884430943706</v>
      </c>
      <c r="M15" s="139">
        <f>[4]Datos!$K$18*'FGP '!L15/100</f>
        <v>71461.517937655837</v>
      </c>
      <c r="N15" s="234">
        <f t="shared" si="5"/>
        <v>263079.647639392</v>
      </c>
      <c r="O15" s="235">
        <f t="shared" si="6"/>
        <v>5.3449920394780648</v>
      </c>
      <c r="P15" s="235">
        <f t="shared" si="7"/>
        <v>0.18709101765054253</v>
      </c>
      <c r="Q15" s="235">
        <f t="shared" si="8"/>
        <v>2.8413800405770662</v>
      </c>
      <c r="R15" s="236">
        <f t="shared" si="9"/>
        <v>0.28413800405770662</v>
      </c>
      <c r="S15" s="237">
        <f>R15*[4]Datos!$K$18/100</f>
        <v>13985.226813501667</v>
      </c>
      <c r="T15" s="234">
        <f t="shared" si="10"/>
        <v>45587964.821492888</v>
      </c>
      <c r="U15" s="252"/>
      <c r="V15" s="252"/>
    </row>
    <row r="16" spans="2:22" x14ac:dyDescent="0.25">
      <c r="B16" s="236" t="s">
        <v>56</v>
      </c>
      <c r="C16" s="239">
        <v>1.5</v>
      </c>
      <c r="D16" s="91">
        <f>[4]Datos!I$13*C16%</f>
        <v>14647920.2415</v>
      </c>
      <c r="E16" s="88">
        <f t="shared" si="0"/>
        <v>3.1613515100292262</v>
      </c>
      <c r="F16" s="95">
        <v>34300</v>
      </c>
      <c r="G16" s="90">
        <f t="shared" si="1"/>
        <v>3.1613515100292262</v>
      </c>
      <c r="H16" s="90">
        <f t="shared" si="2"/>
        <v>1.8968109060175355</v>
      </c>
      <c r="I16" s="260">
        <f>[4]Datos!$K$18*'FGP '!H16/100</f>
        <v>93360.72740762723</v>
      </c>
      <c r="J16" s="88">
        <v>1.0414843134295824</v>
      </c>
      <c r="K16" s="233">
        <f t="shared" si="3"/>
        <v>4.8859352991166238</v>
      </c>
      <c r="L16" s="233">
        <f t="shared" si="4"/>
        <v>1.4657805897349871</v>
      </c>
      <c r="M16" s="139">
        <f>[4]Datos!$K$18*'FGP '!L16/100</f>
        <v>72145.484636081121</v>
      </c>
      <c r="N16" s="234">
        <f t="shared" si="5"/>
        <v>165506.21204370836</v>
      </c>
      <c r="O16" s="235">
        <f t="shared" si="6"/>
        <v>3.3625914957525227</v>
      </c>
      <c r="P16" s="235">
        <f t="shared" si="7"/>
        <v>0.29738967735544325</v>
      </c>
      <c r="Q16" s="235">
        <f t="shared" si="8"/>
        <v>4.5165027382005878</v>
      </c>
      <c r="R16" s="236">
        <f t="shared" si="9"/>
        <v>0.45165027382005879</v>
      </c>
      <c r="S16" s="237">
        <f>R16*[4]Datos!$K$18/100</f>
        <v>22230.153761729212</v>
      </c>
      <c r="T16" s="234">
        <f t="shared" si="10"/>
        <v>14835656.607305437</v>
      </c>
      <c r="U16" s="252"/>
      <c r="V16" s="252"/>
    </row>
    <row r="17" spans="2:22" x14ac:dyDescent="0.25">
      <c r="B17" s="236" t="s">
        <v>57</v>
      </c>
      <c r="C17" s="239">
        <v>1.53</v>
      </c>
      <c r="D17" s="91">
        <f>[4]Datos!I$13*C17%</f>
        <v>14940878.646330001</v>
      </c>
      <c r="E17" s="88">
        <f t="shared" si="0"/>
        <v>1.050711580592804</v>
      </c>
      <c r="F17" s="95">
        <v>11400</v>
      </c>
      <c r="G17" s="90">
        <f t="shared" si="1"/>
        <v>1.050711580592804</v>
      </c>
      <c r="H17" s="90">
        <f t="shared" si="2"/>
        <v>0.63042694835568236</v>
      </c>
      <c r="I17" s="260">
        <f>[4]Datos!$K$18*'FGP '!H17/100</f>
        <v>31029.512899328005</v>
      </c>
      <c r="J17" s="88">
        <v>0.85467833918440506</v>
      </c>
      <c r="K17" s="233">
        <f t="shared" si="3"/>
        <v>4.0095688556847389</v>
      </c>
      <c r="L17" s="233">
        <f t="shared" si="4"/>
        <v>1.2028706567054217</v>
      </c>
      <c r="M17" s="139">
        <f>[4]Datos!$K$18*'FGP '!L17/100</f>
        <v>59205.100060865137</v>
      </c>
      <c r="N17" s="234">
        <f t="shared" si="5"/>
        <v>90234.612960193146</v>
      </c>
      <c r="O17" s="235">
        <f t="shared" si="6"/>
        <v>1.8332976050611041</v>
      </c>
      <c r="P17" s="235">
        <f t="shared" si="7"/>
        <v>0.54546517556088214</v>
      </c>
      <c r="Q17" s="235">
        <f t="shared" si="8"/>
        <v>8.2840634581585491</v>
      </c>
      <c r="R17" s="236">
        <f t="shared" si="9"/>
        <v>0.82840634581585493</v>
      </c>
      <c r="S17" s="237">
        <f>R17*[4]Datos!$K$18/100</f>
        <v>40774.026967634709</v>
      </c>
      <c r="T17" s="234">
        <f t="shared" si="10"/>
        <v>15071887.28625783</v>
      </c>
      <c r="U17" s="252"/>
      <c r="V17" s="252"/>
    </row>
    <row r="18" spans="2:22" x14ac:dyDescent="0.25">
      <c r="B18" s="236" t="s">
        <v>58</v>
      </c>
      <c r="C18" s="239">
        <v>3.16</v>
      </c>
      <c r="D18" s="91">
        <f>[4]Datos!I$13*C18%</f>
        <v>30858285.308760002</v>
      </c>
      <c r="E18" s="88">
        <f t="shared" si="0"/>
        <v>2.5136892050445216</v>
      </c>
      <c r="F18" s="95">
        <v>27273</v>
      </c>
      <c r="G18" s="90">
        <f t="shared" si="1"/>
        <v>2.5136892050445216</v>
      </c>
      <c r="H18" s="90">
        <f t="shared" si="2"/>
        <v>1.5082135230267129</v>
      </c>
      <c r="I18" s="260">
        <f>[4]Datos!$K$18*'FGP '!H18/100</f>
        <v>74234.026780997607</v>
      </c>
      <c r="J18" s="88">
        <v>1.6065673989732978</v>
      </c>
      <c r="K18" s="233">
        <f t="shared" si="3"/>
        <v>7.536920397010233</v>
      </c>
      <c r="L18" s="233">
        <f t="shared" si="4"/>
        <v>2.2610761191030697</v>
      </c>
      <c r="M18" s="139">
        <f>[4]Datos!$K$18*'FGP '!L18/100</f>
        <v>111289.80254899792</v>
      </c>
      <c r="N18" s="234">
        <f t="shared" si="5"/>
        <v>185523.82932999553</v>
      </c>
      <c r="O18" s="235">
        <f t="shared" si="6"/>
        <v>3.7692896421297828</v>
      </c>
      <c r="P18" s="235">
        <f t="shared" si="7"/>
        <v>0.26530197860702592</v>
      </c>
      <c r="Q18" s="235">
        <f t="shared" si="8"/>
        <v>4.029181925492729</v>
      </c>
      <c r="R18" s="236">
        <f t="shared" si="9"/>
        <v>0.40291819254927291</v>
      </c>
      <c r="S18" s="237">
        <f>R18*[4]Datos!$K$18/100</f>
        <v>19831.568567446215</v>
      </c>
      <c r="T18" s="234">
        <f t="shared" si="10"/>
        <v>31063640.706657443</v>
      </c>
      <c r="U18" s="252"/>
      <c r="V18" s="252"/>
    </row>
    <row r="19" spans="2:22" x14ac:dyDescent="0.25">
      <c r="B19" s="236" t="s">
        <v>59</v>
      </c>
      <c r="C19" s="239">
        <v>2.81</v>
      </c>
      <c r="D19" s="91">
        <f>[4]Datos!I$13*C19%</f>
        <v>27440437.252410002</v>
      </c>
      <c r="E19" s="88">
        <f t="shared" si="0"/>
        <v>1.6311836450290742</v>
      </c>
      <c r="F19" s="95">
        <v>17698</v>
      </c>
      <c r="G19" s="90">
        <f t="shared" si="1"/>
        <v>1.6311836450290742</v>
      </c>
      <c r="H19" s="90">
        <f t="shared" si="2"/>
        <v>0.9787101870174445</v>
      </c>
      <c r="I19" s="260">
        <f>[4]Datos!$K$18*'FGP '!H19/100</f>
        <v>48171.957832658518</v>
      </c>
      <c r="J19" s="88">
        <v>1.2653485506078768</v>
      </c>
      <c r="K19" s="233">
        <f t="shared" si="3"/>
        <v>5.9361538809380185</v>
      </c>
      <c r="L19" s="233">
        <f t="shared" si="4"/>
        <v>1.7808461642814055</v>
      </c>
      <c r="M19" s="139">
        <f>[4]Datos!$K$18*'FGP '!L19/100</f>
        <v>87652.961489698326</v>
      </c>
      <c r="N19" s="234">
        <f t="shared" si="5"/>
        <v>135824.91932235684</v>
      </c>
      <c r="O19" s="235">
        <f t="shared" si="6"/>
        <v>2.7595563512988499</v>
      </c>
      <c r="P19" s="235">
        <f t="shared" si="7"/>
        <v>0.36237708990045686</v>
      </c>
      <c r="Q19" s="235">
        <f t="shared" si="8"/>
        <v>5.5034765609581013</v>
      </c>
      <c r="R19" s="236">
        <f t="shared" si="9"/>
        <v>0.55034765609581016</v>
      </c>
      <c r="S19" s="237">
        <f>R19*[4]Datos!$K$18/100</f>
        <v>27088.023027063147</v>
      </c>
      <c r="T19" s="234">
        <f t="shared" si="10"/>
        <v>27603350.194759421</v>
      </c>
      <c r="U19" s="252"/>
      <c r="V19" s="252"/>
    </row>
    <row r="20" spans="2:22" x14ac:dyDescent="0.25">
      <c r="B20" s="236" t="s">
        <v>60</v>
      </c>
      <c r="C20" s="239">
        <v>1.6</v>
      </c>
      <c r="D20" s="91">
        <f>[4]Datos!I$13*C20%</f>
        <v>15624448.2576</v>
      </c>
      <c r="E20" s="88">
        <f t="shared" si="0"/>
        <v>1.2534804821107137</v>
      </c>
      <c r="F20" s="95">
        <v>13600</v>
      </c>
      <c r="G20" s="90">
        <f t="shared" si="1"/>
        <v>1.2534804821107137</v>
      </c>
      <c r="H20" s="90">
        <f t="shared" si="2"/>
        <v>0.75208828926642823</v>
      </c>
      <c r="I20" s="260">
        <f>[4]Datos!$K$18*'FGP '!H20/100</f>
        <v>37017.66451147903</v>
      </c>
      <c r="J20" s="88">
        <v>1.0280859466341032</v>
      </c>
      <c r="K20" s="233">
        <f t="shared" si="3"/>
        <v>4.8230792844533088</v>
      </c>
      <c r="L20" s="233">
        <f t="shared" si="4"/>
        <v>1.4469237853359926</v>
      </c>
      <c r="M20" s="139">
        <f>[4]Datos!$K$18*'FGP '!L20/100</f>
        <v>71217.355759508122</v>
      </c>
      <c r="N20" s="234">
        <f t="shared" si="5"/>
        <v>108235.02027098715</v>
      </c>
      <c r="O20" s="235">
        <f t="shared" si="6"/>
        <v>2.1990120746024209</v>
      </c>
      <c r="P20" s="235">
        <f t="shared" si="7"/>
        <v>0.45474966306440084</v>
      </c>
      <c r="Q20" s="235">
        <f t="shared" si="8"/>
        <v>6.906353027080173</v>
      </c>
      <c r="R20" s="236">
        <f t="shared" si="9"/>
        <v>0.69063530270801732</v>
      </c>
      <c r="S20" s="237">
        <f>R20*[4]Datos!$K$18/100</f>
        <v>33992.95840700488</v>
      </c>
      <c r="T20" s="234">
        <f t="shared" si="10"/>
        <v>15766676.236277994</v>
      </c>
      <c r="U20" s="252"/>
      <c r="V20" s="252"/>
    </row>
    <row r="21" spans="2:22" x14ac:dyDescent="0.25">
      <c r="B21" s="236" t="s">
        <v>61</v>
      </c>
      <c r="C21" s="239">
        <v>2.84</v>
      </c>
      <c r="D21" s="91">
        <f>[4]Datos!I$13*C21%</f>
        <v>27733395.65724</v>
      </c>
      <c r="E21" s="88">
        <f t="shared" si="0"/>
        <v>3.1699231045024834</v>
      </c>
      <c r="F21" s="95">
        <v>34393</v>
      </c>
      <c r="G21" s="90">
        <f t="shared" si="1"/>
        <v>3.1699231045024834</v>
      </c>
      <c r="H21" s="90">
        <f t="shared" si="2"/>
        <v>1.90195386270149</v>
      </c>
      <c r="I21" s="260">
        <f>[4]Datos!$K$18*'FGP '!H21/100</f>
        <v>93613.862907595452</v>
      </c>
      <c r="J21" s="88">
        <v>0.87530847085620223</v>
      </c>
      <c r="K21" s="233">
        <f t="shared" si="3"/>
        <v>4.1063513873665967</v>
      </c>
      <c r="L21" s="233">
        <f t="shared" si="4"/>
        <v>1.231905416209979</v>
      </c>
      <c r="M21" s="139">
        <f>[4]Datos!$K$18*'FGP '!L21/100</f>
        <v>60634.186249083163</v>
      </c>
      <c r="N21" s="234">
        <f t="shared" si="5"/>
        <v>154248.04915667861</v>
      </c>
      <c r="O21" s="235">
        <f t="shared" si="6"/>
        <v>3.1338592789114692</v>
      </c>
      <c r="P21" s="235">
        <f t="shared" si="7"/>
        <v>0.31909537442515451</v>
      </c>
      <c r="Q21" s="235">
        <f t="shared" si="8"/>
        <v>4.8461504957208748</v>
      </c>
      <c r="R21" s="236">
        <f t="shared" si="9"/>
        <v>0.48461504957208751</v>
      </c>
      <c r="S21" s="237">
        <f>R21*[4]Datos!$K$18/100</f>
        <v>23852.674716915168</v>
      </c>
      <c r="T21" s="234">
        <f t="shared" si="10"/>
        <v>27911496.381113596</v>
      </c>
      <c r="U21" s="252"/>
      <c r="V21" s="252"/>
    </row>
    <row r="22" spans="2:22" x14ac:dyDescent="0.25">
      <c r="B22" s="236" t="s">
        <v>62</v>
      </c>
      <c r="C22" s="239">
        <v>3.33</v>
      </c>
      <c r="D22" s="91">
        <f>[4]Datos!I$13*C22%</f>
        <v>32518382.936130002</v>
      </c>
      <c r="E22" s="88">
        <f t="shared" si="0"/>
        <v>2.1630833407835541</v>
      </c>
      <c r="F22" s="95">
        <v>23469</v>
      </c>
      <c r="G22" s="90">
        <f t="shared" si="1"/>
        <v>2.1630833407835541</v>
      </c>
      <c r="H22" s="90">
        <f t="shared" si="2"/>
        <v>1.2978500044701324</v>
      </c>
      <c r="I22" s="260">
        <f>[4]Datos!$K$18*'FGP '!H22/100</f>
        <v>63879.968266169206</v>
      </c>
      <c r="J22" s="88">
        <v>1.1100789643649112</v>
      </c>
      <c r="K22" s="233">
        <f t="shared" si="3"/>
        <v>5.2077346983143604</v>
      </c>
      <c r="L22" s="233">
        <f t="shared" si="4"/>
        <v>1.5623204094943082</v>
      </c>
      <c r="M22" s="139">
        <f>[4]Datos!$K$18*'FGP '!L22/100</f>
        <v>76897.159021723928</v>
      </c>
      <c r="N22" s="234">
        <f t="shared" si="5"/>
        <v>140777.12728789315</v>
      </c>
      <c r="O22" s="235">
        <f t="shared" si="6"/>
        <v>2.8601704139644406</v>
      </c>
      <c r="P22" s="235">
        <f t="shared" si="7"/>
        <v>0.34962951686991073</v>
      </c>
      <c r="Q22" s="235">
        <f t="shared" si="8"/>
        <v>5.3098772100665093</v>
      </c>
      <c r="R22" s="236">
        <f t="shared" si="9"/>
        <v>0.53098772100665093</v>
      </c>
      <c r="S22" s="237">
        <f>R22*[4]Datos!$K$18/100</f>
        <v>26135.13013892428</v>
      </c>
      <c r="T22" s="234">
        <f t="shared" si="10"/>
        <v>32685295.193556819</v>
      </c>
      <c r="U22" s="252"/>
      <c r="V22" s="252"/>
    </row>
    <row r="23" spans="2:22" x14ac:dyDescent="0.25">
      <c r="B23" s="236" t="s">
        <v>63</v>
      </c>
      <c r="C23" s="239">
        <v>4.6900000000000004</v>
      </c>
      <c r="D23" s="91">
        <f>[4]Datos!I$13*C23%</f>
        <v>45799163.955090009</v>
      </c>
      <c r="E23" s="88">
        <f t="shared" si="0"/>
        <v>3.9742704697510276</v>
      </c>
      <c r="F23" s="95">
        <v>43120</v>
      </c>
      <c r="G23" s="90">
        <f t="shared" si="1"/>
        <v>3.9742704697510276</v>
      </c>
      <c r="H23" s="90">
        <f t="shared" si="2"/>
        <v>2.3845622818506165</v>
      </c>
      <c r="I23" s="260">
        <f>[4]Datos!$K$18*'FGP '!H23/100</f>
        <v>117367.77159815998</v>
      </c>
      <c r="J23" s="88">
        <v>1.0271474274611161</v>
      </c>
      <c r="K23" s="233">
        <f t="shared" si="3"/>
        <v>4.8186763914888475</v>
      </c>
      <c r="L23" s="233">
        <f t="shared" si="4"/>
        <v>1.4456029174466543</v>
      </c>
      <c r="M23" s="139">
        <f>[4]Datos!$K$18*'FGP '!L23/100</f>
        <v>71152.34285465462</v>
      </c>
      <c r="N23" s="234">
        <f t="shared" si="5"/>
        <v>188520.1144528146</v>
      </c>
      <c r="O23" s="235">
        <f t="shared" si="6"/>
        <v>3.8301651992972707</v>
      </c>
      <c r="P23" s="235">
        <f t="shared" si="7"/>
        <v>0.26108534435628844</v>
      </c>
      <c r="Q23" s="235">
        <f t="shared" si="8"/>
        <v>3.9651432530384598</v>
      </c>
      <c r="R23" s="236">
        <f t="shared" si="9"/>
        <v>0.396514325303846</v>
      </c>
      <c r="S23" s="237">
        <f>R23*[4]Datos!$K$18/100</f>
        <v>19516.371252648929</v>
      </c>
      <c r="T23" s="234">
        <f t="shared" si="10"/>
        <v>46007200.440795474</v>
      </c>
      <c r="U23" s="252"/>
      <c r="V23" s="252"/>
    </row>
    <row r="24" spans="2:22" x14ac:dyDescent="0.25">
      <c r="B24" s="236" t="s">
        <v>64</v>
      </c>
      <c r="C24" s="239">
        <v>2.13</v>
      </c>
      <c r="D24" s="91">
        <f>[4]Datos!I$13*C24%</f>
        <v>20800046.742929999</v>
      </c>
      <c r="E24" s="88">
        <f t="shared" si="0"/>
        <v>0.69217929563613667</v>
      </c>
      <c r="F24" s="95">
        <v>7510</v>
      </c>
      <c r="G24" s="90">
        <f t="shared" si="1"/>
        <v>0.69217929563613667</v>
      </c>
      <c r="H24" s="90">
        <f t="shared" si="2"/>
        <v>0.415307577381682</v>
      </c>
      <c r="I24" s="260">
        <f>[4]Datos!$K$18*'FGP '!H24/100</f>
        <v>20441.372094206432</v>
      </c>
      <c r="J24" s="88">
        <v>0.62052354367588269</v>
      </c>
      <c r="K24" s="233">
        <f t="shared" si="3"/>
        <v>2.9110739805529704</v>
      </c>
      <c r="L24" s="233">
        <f t="shared" si="4"/>
        <v>0.87332219416589107</v>
      </c>
      <c r="M24" s="139">
        <f>[4]Datos!$K$18*'FGP '!L24/100</f>
        <v>42984.777791971901</v>
      </c>
      <c r="N24" s="234">
        <f t="shared" si="5"/>
        <v>63426.149886178333</v>
      </c>
      <c r="O24" s="235">
        <f t="shared" si="6"/>
        <v>1.2886297715475732</v>
      </c>
      <c r="P24" s="235">
        <f t="shared" si="7"/>
        <v>0.77601807910976262</v>
      </c>
      <c r="Q24" s="235">
        <f t="shared" si="8"/>
        <v>11.78550583987932</v>
      </c>
      <c r="R24" s="236">
        <f t="shared" si="9"/>
        <v>1.178550583987932</v>
      </c>
      <c r="S24" s="237">
        <f>R24*[4]Datos!$K$18/100</f>
        <v>58008.069997241997</v>
      </c>
      <c r="T24" s="234">
        <f t="shared" si="10"/>
        <v>20921480.962813422</v>
      </c>
      <c r="U24" s="252"/>
      <c r="V24" s="252"/>
    </row>
    <row r="25" spans="2:22" x14ac:dyDescent="0.25">
      <c r="B25" s="236" t="s">
        <v>65</v>
      </c>
      <c r="C25" s="239">
        <v>2.81</v>
      </c>
      <c r="D25" s="91">
        <f>[4]Datos!I$13*C25%</f>
        <v>27440437.252410002</v>
      </c>
      <c r="E25" s="88">
        <f t="shared" si="0"/>
        <v>2.0656621003724496</v>
      </c>
      <c r="F25" s="95">
        <v>22412</v>
      </c>
      <c r="G25" s="90">
        <f t="shared" si="1"/>
        <v>2.0656621003724496</v>
      </c>
      <c r="H25" s="90">
        <f t="shared" si="2"/>
        <v>1.2393972602234697</v>
      </c>
      <c r="I25" s="260">
        <f>[4]Datos!$K$18*'FGP '!H25/100</f>
        <v>61002.933605240287</v>
      </c>
      <c r="J25" s="88">
        <v>0.92308592353544838</v>
      </c>
      <c r="K25" s="233">
        <f t="shared" si="3"/>
        <v>4.3304906658341702</v>
      </c>
      <c r="L25" s="233">
        <f t="shared" si="4"/>
        <v>1.2991471997502511</v>
      </c>
      <c r="M25" s="139">
        <f>[4]Datos!$K$18*'FGP '!L25/100</f>
        <v>63943.816009008202</v>
      </c>
      <c r="N25" s="234">
        <f t="shared" si="5"/>
        <v>124946.74961424849</v>
      </c>
      <c r="O25" s="235">
        <f t="shared" si="6"/>
        <v>2.5385444599737208</v>
      </c>
      <c r="P25" s="235">
        <f t="shared" si="7"/>
        <v>0.39392652591570215</v>
      </c>
      <c r="Q25" s="235">
        <f t="shared" si="8"/>
        <v>5.982622694807362</v>
      </c>
      <c r="R25" s="236">
        <f t="shared" si="9"/>
        <v>0.59826226948073624</v>
      </c>
      <c r="S25" s="237">
        <f>R25*[4]Datos!$K$18/100</f>
        <v>29446.372583616456</v>
      </c>
      <c r="T25" s="234">
        <f t="shared" si="10"/>
        <v>27594830.374607865</v>
      </c>
      <c r="U25" s="252"/>
      <c r="V25" s="252"/>
    </row>
    <row r="26" spans="2:22" x14ac:dyDescent="0.25">
      <c r="B26" s="236" t="s">
        <v>66</v>
      </c>
      <c r="C26" s="239">
        <v>8.34</v>
      </c>
      <c r="D26" s="91">
        <f>[4]Datos!I$13*C26%</f>
        <v>81442436.542740002</v>
      </c>
      <c r="E26" s="88">
        <f t="shared" si="0"/>
        <v>8.5784148817626882</v>
      </c>
      <c r="F26" s="95">
        <v>93074</v>
      </c>
      <c r="G26" s="90">
        <f t="shared" si="1"/>
        <v>8.5784148817626882</v>
      </c>
      <c r="H26" s="90">
        <f t="shared" si="2"/>
        <v>5.1470489290576129</v>
      </c>
      <c r="I26" s="260">
        <f>[4]Datos!$K$18*'FGP '!H26/100</f>
        <v>253336.91961333816</v>
      </c>
      <c r="J26" s="88">
        <v>1.1315981804072748</v>
      </c>
      <c r="K26" s="233">
        <f t="shared" si="3"/>
        <v>5.3086882085256404</v>
      </c>
      <c r="L26" s="233">
        <f t="shared" si="4"/>
        <v>1.5926064625576921</v>
      </c>
      <c r="M26" s="139">
        <f>[4]Datos!$K$18*'FGP '!L26/100</f>
        <v>78387.833677449147</v>
      </c>
      <c r="N26" s="234">
        <f t="shared" si="5"/>
        <v>331724.75329078734</v>
      </c>
      <c r="O26" s="235">
        <f t="shared" si="6"/>
        <v>6.7396553916153046</v>
      </c>
      <c r="P26" s="235">
        <f t="shared" si="7"/>
        <v>0.14837553879150611</v>
      </c>
      <c r="Q26" s="235">
        <f t="shared" si="8"/>
        <v>2.2534021126525796</v>
      </c>
      <c r="R26" s="236">
        <f t="shared" si="9"/>
        <v>0.22534021126525797</v>
      </c>
      <c r="S26" s="237">
        <f>R26*[4]Datos!$K$18/100</f>
        <v>11091.208918701985</v>
      </c>
      <c r="T26" s="234">
        <f t="shared" si="10"/>
        <v>81785252.504949495</v>
      </c>
      <c r="U26" s="252"/>
      <c r="V26" s="252"/>
    </row>
    <row r="27" spans="2:22" x14ac:dyDescent="0.25">
      <c r="B27" s="236" t="s">
        <v>67</v>
      </c>
      <c r="C27" s="239">
        <v>3.5</v>
      </c>
      <c r="D27" s="91">
        <f>[4]Datos!I$13*C27%</f>
        <v>34178480.563500002</v>
      </c>
      <c r="E27" s="88">
        <f t="shared" si="0"/>
        <v>3.6642183857936419</v>
      </c>
      <c r="F27" s="95">
        <v>39756</v>
      </c>
      <c r="G27" s="90">
        <f t="shared" si="1"/>
        <v>3.6642183857936419</v>
      </c>
      <c r="H27" s="90">
        <f t="shared" si="2"/>
        <v>2.1985310314761852</v>
      </c>
      <c r="I27" s="260">
        <f>[4]Datos!$K$18*'FGP '!H27/100</f>
        <v>108211.34340576177</v>
      </c>
      <c r="J27" s="88">
        <v>1.036978388061407</v>
      </c>
      <c r="K27" s="233">
        <f t="shared" si="3"/>
        <v>4.8647965651696321</v>
      </c>
      <c r="L27" s="233">
        <f t="shared" si="4"/>
        <v>1.4594389695508896</v>
      </c>
      <c r="M27" s="139">
        <f>[4]Datos!$K$18*'FGP '!L27/100</f>
        <v>71833.351111620694</v>
      </c>
      <c r="N27" s="234">
        <f t="shared" si="5"/>
        <v>180044.69451738248</v>
      </c>
      <c r="O27" s="235">
        <f t="shared" si="6"/>
        <v>3.657970001027075</v>
      </c>
      <c r="P27" s="235">
        <f t="shared" si="7"/>
        <v>0.27337567003535368</v>
      </c>
      <c r="Q27" s="235">
        <f t="shared" si="8"/>
        <v>4.151798318125099</v>
      </c>
      <c r="R27" s="236">
        <f t="shared" si="9"/>
        <v>0.41517983181250995</v>
      </c>
      <c r="S27" s="237">
        <f>R27*[4]Datos!$K$18/100</f>
        <v>20435.084477858822</v>
      </c>
      <c r="T27" s="234">
        <f t="shared" si="10"/>
        <v>34378960.34249524</v>
      </c>
      <c r="U27" s="252"/>
      <c r="V27" s="252"/>
    </row>
    <row r="28" spans="2:22" x14ac:dyDescent="0.25">
      <c r="B28" s="236" t="s">
        <v>68</v>
      </c>
      <c r="C28" s="239">
        <v>39</v>
      </c>
      <c r="D28" s="91">
        <f>[4]Datos!I$13*C28%</f>
        <v>380845926.27900004</v>
      </c>
      <c r="E28" s="88">
        <f t="shared" si="0"/>
        <v>35.046669106037996</v>
      </c>
      <c r="F28" s="95">
        <v>380249</v>
      </c>
      <c r="G28" s="90">
        <f t="shared" si="1"/>
        <v>35.046669106037996</v>
      </c>
      <c r="H28" s="90">
        <f t="shared" si="2"/>
        <v>21.028001463622797</v>
      </c>
      <c r="I28" s="260">
        <f>[4]Datos!$K$18*'FGP '!H28/100</f>
        <v>1034994.8465312785</v>
      </c>
      <c r="J28" s="88">
        <v>1.2358771758545384</v>
      </c>
      <c r="K28" s="233">
        <f t="shared" si="3"/>
        <v>5.7978942563195179</v>
      </c>
      <c r="L28" s="233">
        <f t="shared" si="4"/>
        <v>1.7393682768958554</v>
      </c>
      <c r="M28" s="139">
        <f>[4]Datos!$K$18*'FGP '!L28/100</f>
        <v>85611.426550521428</v>
      </c>
      <c r="N28" s="234">
        <f t="shared" si="5"/>
        <v>1120606.2730818</v>
      </c>
      <c r="O28" s="235">
        <f t="shared" si="6"/>
        <v>22.767369740518653</v>
      </c>
      <c r="P28" s="235">
        <f t="shared" si="7"/>
        <v>4.3922508897473525E-2</v>
      </c>
      <c r="Q28" s="235">
        <f t="shared" si="8"/>
        <v>0.66705789342841793</v>
      </c>
      <c r="R28" s="236">
        <f t="shared" si="9"/>
        <v>6.6705789342841798E-2</v>
      </c>
      <c r="S28" s="237">
        <f>R28*[4]Datos!$K$18/100</f>
        <v>3283.2482118225894</v>
      </c>
      <c r="T28" s="234">
        <f t="shared" si="10"/>
        <v>381969815.80029362</v>
      </c>
      <c r="U28" s="252"/>
      <c r="V28" s="252"/>
    </row>
    <row r="29" spans="2:22" x14ac:dyDescent="0.25">
      <c r="B29" s="236" t="s">
        <v>69</v>
      </c>
      <c r="C29" s="239">
        <v>3.79</v>
      </c>
      <c r="D29" s="91">
        <f>[4]Datos!I$13*C29%</f>
        <v>37010411.810190007</v>
      </c>
      <c r="E29" s="88">
        <f t="shared" si="0"/>
        <v>2.7677955057194654</v>
      </c>
      <c r="F29" s="95">
        <v>30030</v>
      </c>
      <c r="G29" s="90">
        <f t="shared" si="1"/>
        <v>2.7677955057194654</v>
      </c>
      <c r="H29" s="90">
        <f t="shared" si="2"/>
        <v>1.6606773034316793</v>
      </c>
      <c r="I29" s="260">
        <f>[4]Datos!$K$18*'FGP '!H29/100</f>
        <v>81738.269505861404</v>
      </c>
      <c r="J29" s="88">
        <v>1.0289525425038062</v>
      </c>
      <c r="K29" s="233">
        <f t="shared" si="3"/>
        <v>4.8271447622480794</v>
      </c>
      <c r="L29" s="233">
        <f t="shared" si="4"/>
        <v>1.4481434286744237</v>
      </c>
      <c r="M29" s="139">
        <f>[4]Datos!$K$18*'FGP '!L29/100</f>
        <v>71277.386408263119</v>
      </c>
      <c r="N29" s="234">
        <f t="shared" si="5"/>
        <v>153015.65591412451</v>
      </c>
      <c r="O29" s="235">
        <f t="shared" si="6"/>
        <v>3.108820732106103</v>
      </c>
      <c r="P29" s="235">
        <f t="shared" si="7"/>
        <v>0.32166537931009603</v>
      </c>
      <c r="Q29" s="235">
        <f t="shared" si="8"/>
        <v>4.8851815549131343</v>
      </c>
      <c r="R29" s="236">
        <f t="shared" si="9"/>
        <v>0.48851815549131344</v>
      </c>
      <c r="S29" s="237">
        <f>R29*[4]Datos!$K$18/100</f>
        <v>24044.784961859415</v>
      </c>
      <c r="T29" s="234">
        <f t="shared" si="10"/>
        <v>37187472.251065984</v>
      </c>
      <c r="U29" s="252"/>
      <c r="V29" s="252"/>
    </row>
    <row r="30" spans="2:22" ht="15.75" thickBot="1" x14ac:dyDescent="0.3">
      <c r="B30" s="236" t="s">
        <v>70</v>
      </c>
      <c r="C30" s="239">
        <v>3.1</v>
      </c>
      <c r="D30" s="91">
        <f>[4]Datos!I$13*C30%</f>
        <v>30272368.4991</v>
      </c>
      <c r="E30" s="88">
        <f t="shared" si="0"/>
        <v>4.5256175465147246</v>
      </c>
      <c r="F30" s="95">
        <v>49102</v>
      </c>
      <c r="G30" s="90">
        <f t="shared" si="1"/>
        <v>4.5256175465147246</v>
      </c>
      <c r="H30" s="258">
        <f t="shared" si="2"/>
        <v>2.7153705279088345</v>
      </c>
      <c r="I30" s="261">
        <f>[4]Datos!$K$18*'FGP '!H30/100</f>
        <v>133650.10020901784</v>
      </c>
      <c r="J30" s="88">
        <v>1.2407001600184107</v>
      </c>
      <c r="K30" s="233">
        <f t="shared" si="3"/>
        <v>5.8205204142649469</v>
      </c>
      <c r="L30" s="233">
        <f t="shared" si="4"/>
        <v>1.7461561242794841</v>
      </c>
      <c r="M30" s="139">
        <f>[4]Datos!$K$18*'FGP '!L30/100</f>
        <v>85945.523305900206</v>
      </c>
      <c r="N30" s="234">
        <f t="shared" si="5"/>
        <v>219595.62351491803</v>
      </c>
      <c r="O30" s="235">
        <f t="shared" si="6"/>
        <v>4.4615266521883186</v>
      </c>
      <c r="P30" s="235">
        <f t="shared" si="7"/>
        <v>0.22413852431196696</v>
      </c>
      <c r="Q30" s="235">
        <f t="shared" si="8"/>
        <v>3.404026218372401</v>
      </c>
      <c r="R30" s="236">
        <f t="shared" si="9"/>
        <v>0.34040262183724013</v>
      </c>
      <c r="S30" s="237">
        <f>R30*[4]Datos!$K$18/100</f>
        <v>16754.562242006843</v>
      </c>
      <c r="T30" s="234">
        <f t="shared" si="10"/>
        <v>30508718.684856921</v>
      </c>
      <c r="U30" s="252"/>
      <c r="V30" s="252"/>
    </row>
    <row r="31" spans="2:22" ht="15.75" thickBot="1" x14ac:dyDescent="0.3">
      <c r="B31" s="240" t="s">
        <v>71</v>
      </c>
      <c r="C31" s="241">
        <f>SUM(C11:C30)</f>
        <v>100</v>
      </c>
      <c r="D31" s="242">
        <f>SUM(D11:D30)</f>
        <v>976528016.0999999</v>
      </c>
      <c r="E31" s="243">
        <f>SUM(E11:E30)</f>
        <v>99.999999999999986</v>
      </c>
      <c r="F31" s="244">
        <f>SUM(F11:F30)</f>
        <v>1084979</v>
      </c>
      <c r="G31" s="245">
        <f t="shared" si="1"/>
        <v>99.999999999999986</v>
      </c>
      <c r="H31" s="142">
        <f>SUM(H11:H30)</f>
        <v>59.999999999999993</v>
      </c>
      <c r="I31" s="256">
        <f>SUM(I11:I30)</f>
        <v>2953190.34</v>
      </c>
      <c r="J31" s="100">
        <v>21.315966128693567</v>
      </c>
      <c r="K31" s="246">
        <f>SUM(K11:K30)</f>
        <v>100.00000000000003</v>
      </c>
      <c r="L31" s="246">
        <f>SUM(L11:L30)</f>
        <v>30.000000000000007</v>
      </c>
      <c r="M31" s="247">
        <f>SUM(M11:M30)</f>
        <v>1476595.1700000004</v>
      </c>
      <c r="N31" s="248">
        <f t="shared" si="5"/>
        <v>4429785.51</v>
      </c>
      <c r="O31" s="249">
        <f t="shared" ref="O31:T31" si="11">SUM(O11:O30)</f>
        <v>90</v>
      </c>
      <c r="P31" s="249">
        <f t="shared" si="11"/>
        <v>6.584512278496387</v>
      </c>
      <c r="Q31" s="249">
        <f t="shared" si="11"/>
        <v>99.999999999999972</v>
      </c>
      <c r="R31" s="250">
        <f t="shared" si="11"/>
        <v>10</v>
      </c>
      <c r="S31" s="251">
        <f t="shared" si="11"/>
        <v>492198.3899999999</v>
      </c>
      <c r="T31" s="248">
        <f t="shared" si="11"/>
        <v>981450000.00000012</v>
      </c>
    </row>
    <row r="32" spans="2:22" x14ac:dyDescent="0.25">
      <c r="B32" s="22"/>
      <c r="C32" s="170"/>
      <c r="D32" s="22"/>
      <c r="E32" s="22"/>
      <c r="F32" s="22"/>
      <c r="G32" s="22"/>
      <c r="H32" s="22"/>
      <c r="I32" s="25"/>
    </row>
    <row r="33" spans="2:20" x14ac:dyDescent="0.25">
      <c r="B33" s="22" t="s">
        <v>72</v>
      </c>
      <c r="C33" s="22"/>
      <c r="D33" s="22"/>
      <c r="E33" s="22"/>
      <c r="F33" s="22"/>
      <c r="G33" s="22"/>
      <c r="H33" s="22"/>
      <c r="I33" s="25"/>
      <c r="T33" s="252"/>
    </row>
  </sheetData>
  <mergeCells count="15">
    <mergeCell ref="B6:B10"/>
    <mergeCell ref="C6:C8"/>
    <mergeCell ref="F6:I6"/>
    <mergeCell ref="J6:M6"/>
    <mergeCell ref="B3:T3"/>
    <mergeCell ref="B4:T4"/>
    <mergeCell ref="N6:N10"/>
    <mergeCell ref="O6:S6"/>
    <mergeCell ref="T6:T10"/>
    <mergeCell ref="E7:F7"/>
    <mergeCell ref="J7:J8"/>
    <mergeCell ref="K7:K8"/>
    <mergeCell ref="M7:M8"/>
    <mergeCell ref="O7:O10"/>
    <mergeCell ref="E8:F8"/>
  </mergeCells>
  <pageMargins left="0.70866141732283472" right="0.70866141732283472" top="0.74803149606299213" bottom="0.74803149606299213" header="0.31496062992125984" footer="0.31496062992125984"/>
  <pageSetup scale="48" orientation="landscape" r:id="rId1"/>
  <ignoredErrors>
    <ignoredError sqref="C10:D10 D9 F10:J10 L10:M10 R10:S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B2:S67"/>
  <sheetViews>
    <sheetView topLeftCell="A22" zoomScale="80" zoomScaleNormal="80" workbookViewId="0">
      <selection activeCell="B68" sqref="B68"/>
    </sheetView>
  </sheetViews>
  <sheetFormatPr baseColWidth="10" defaultRowHeight="15" x14ac:dyDescent="0.25"/>
  <cols>
    <col min="1" max="1" width="3.7109375" customWidth="1"/>
    <col min="2" max="2" width="22.42578125" customWidth="1"/>
    <col min="3" max="3" width="19.5703125" style="271" customWidth="1"/>
    <col min="4" max="4" width="24.5703125" customWidth="1"/>
    <col min="5" max="5" width="13.5703125" bestFit="1" customWidth="1"/>
  </cols>
  <sheetData>
    <row r="2" spans="2:5" x14ac:dyDescent="0.25">
      <c r="B2" s="22"/>
      <c r="C2" s="170"/>
      <c r="D2" s="22"/>
    </row>
    <row r="3" spans="2:5" x14ac:dyDescent="0.25">
      <c r="B3" s="381" t="s">
        <v>6</v>
      </c>
      <c r="C3" s="381"/>
      <c r="D3" s="381"/>
    </row>
    <row r="4" spans="2:5" x14ac:dyDescent="0.25">
      <c r="B4" s="372"/>
      <c r="C4" s="372"/>
      <c r="D4" s="372"/>
    </row>
    <row r="5" spans="2:5" ht="29.25" customHeight="1" thickBot="1" x14ac:dyDescent="0.3">
      <c r="B5" s="382" t="s">
        <v>214</v>
      </c>
      <c r="C5" s="382"/>
      <c r="D5" s="382"/>
    </row>
    <row r="6" spans="2:5" ht="15" customHeight="1" thickBot="1" x14ac:dyDescent="0.3">
      <c r="B6" s="362" t="s">
        <v>38</v>
      </c>
      <c r="C6" s="385" t="s">
        <v>178</v>
      </c>
      <c r="D6" s="386"/>
    </row>
    <row r="7" spans="2:5" x14ac:dyDescent="0.25">
      <c r="B7" s="383"/>
      <c r="C7" s="62" t="s">
        <v>39</v>
      </c>
      <c r="D7" s="263" t="s">
        <v>179</v>
      </c>
    </row>
    <row r="8" spans="2:5" x14ac:dyDescent="0.25">
      <c r="B8" s="383"/>
      <c r="C8" s="69" t="s">
        <v>44</v>
      </c>
      <c r="D8" s="264" t="s">
        <v>180</v>
      </c>
    </row>
    <row r="9" spans="2:5" x14ac:dyDescent="0.25">
      <c r="B9" s="383"/>
      <c r="C9" s="226">
        <v>2014</v>
      </c>
      <c r="D9" s="265" t="s">
        <v>181</v>
      </c>
    </row>
    <row r="10" spans="2:5" ht="15.75" thickBot="1" x14ac:dyDescent="0.3">
      <c r="B10" s="384"/>
      <c r="C10" s="81" t="s">
        <v>49</v>
      </c>
      <c r="D10" s="266" t="s">
        <v>50</v>
      </c>
    </row>
    <row r="11" spans="2:5" ht="30" customHeight="1" x14ac:dyDescent="0.25">
      <c r="B11" s="267" t="s">
        <v>51</v>
      </c>
      <c r="C11" s="239">
        <v>3.62</v>
      </c>
      <c r="D11" s="268">
        <f>[4]Datos!$K$30*'FFM '!C11/100</f>
        <v>15545510.800000001</v>
      </c>
      <c r="E11" s="282"/>
    </row>
    <row r="12" spans="2:5" ht="30" customHeight="1" x14ac:dyDescent="0.25">
      <c r="B12" s="269" t="s">
        <v>52</v>
      </c>
      <c r="C12" s="239">
        <v>2.4700000000000002</v>
      </c>
      <c r="D12" s="268">
        <f>[4]Datos!$K$30*'FFM '!C12/100</f>
        <v>10607019.800000001</v>
      </c>
      <c r="E12" s="40"/>
    </row>
    <row r="13" spans="2:5" ht="30" customHeight="1" x14ac:dyDescent="0.25">
      <c r="B13" s="269" t="s">
        <v>53</v>
      </c>
      <c r="C13" s="239">
        <v>2.33</v>
      </c>
      <c r="D13" s="268">
        <f>[4]Datos!$K$30*'FFM '!C13/100</f>
        <v>10005812.199999999</v>
      </c>
      <c r="E13" s="40"/>
    </row>
    <row r="14" spans="2:5" ht="30" customHeight="1" x14ac:dyDescent="0.25">
      <c r="B14" s="269" t="s">
        <v>54</v>
      </c>
      <c r="C14" s="239">
        <v>2.81</v>
      </c>
      <c r="D14" s="268">
        <f>[4]Datos!$K$30*'FFM '!C14/100</f>
        <v>12067095.4</v>
      </c>
      <c r="E14" s="40"/>
    </row>
    <row r="15" spans="2:5" ht="30" customHeight="1" x14ac:dyDescent="0.25">
      <c r="B15" s="269" t="s">
        <v>55</v>
      </c>
      <c r="C15" s="239">
        <v>4.6399999999999997</v>
      </c>
      <c r="D15" s="268">
        <f>[4]Datos!$K$30*'FFM '!C15/100</f>
        <v>19925737.599999998</v>
      </c>
      <c r="E15" s="40"/>
    </row>
    <row r="16" spans="2:5" ht="30" customHeight="1" x14ac:dyDescent="0.25">
      <c r="B16" s="269" t="s">
        <v>56</v>
      </c>
      <c r="C16" s="239">
        <v>1.5</v>
      </c>
      <c r="D16" s="268">
        <f>[4]Datos!$K$30*'FFM '!C16/100</f>
        <v>6441510</v>
      </c>
      <c r="E16" s="40"/>
    </row>
    <row r="17" spans="2:5" ht="30" customHeight="1" x14ac:dyDescent="0.25">
      <c r="B17" s="269" t="s">
        <v>57</v>
      </c>
      <c r="C17" s="239">
        <v>1.53</v>
      </c>
      <c r="D17" s="268">
        <f>[4]Datos!$K$30*'FFM '!C17/100</f>
        <v>6570340.2000000002</v>
      </c>
      <c r="E17" s="40"/>
    </row>
    <row r="18" spans="2:5" ht="30" customHeight="1" x14ac:dyDescent="0.25">
      <c r="B18" s="269" t="s">
        <v>58</v>
      </c>
      <c r="C18" s="239">
        <v>3.16</v>
      </c>
      <c r="D18" s="268">
        <f>[4]Datos!$K$30*'FFM '!C18/100</f>
        <v>13570114.4</v>
      </c>
      <c r="E18" s="40"/>
    </row>
    <row r="19" spans="2:5" ht="30" customHeight="1" x14ac:dyDescent="0.25">
      <c r="B19" s="269" t="s">
        <v>59</v>
      </c>
      <c r="C19" s="239">
        <v>2.81</v>
      </c>
      <c r="D19" s="268">
        <f>[4]Datos!$K$30*'FFM '!C19/100</f>
        <v>12067095.4</v>
      </c>
      <c r="E19" s="40"/>
    </row>
    <row r="20" spans="2:5" ht="30" customHeight="1" x14ac:dyDescent="0.25">
      <c r="B20" s="269" t="s">
        <v>60</v>
      </c>
      <c r="C20" s="239">
        <v>1.6</v>
      </c>
      <c r="D20" s="268">
        <f>[4]Datos!$K$30*'FFM '!C20/100</f>
        <v>6870944</v>
      </c>
      <c r="E20" s="40"/>
    </row>
    <row r="21" spans="2:5" ht="30" customHeight="1" x14ac:dyDescent="0.25">
      <c r="B21" s="269" t="s">
        <v>61</v>
      </c>
      <c r="C21" s="239">
        <v>2.84</v>
      </c>
      <c r="D21" s="268">
        <f>[4]Datos!$K$30*'FFM '!C21/100</f>
        <v>12195925.6</v>
      </c>
      <c r="E21" s="40"/>
    </row>
    <row r="22" spans="2:5" ht="30" customHeight="1" x14ac:dyDescent="0.25">
      <c r="B22" s="269" t="s">
        <v>62</v>
      </c>
      <c r="C22" s="239">
        <v>3.33</v>
      </c>
      <c r="D22" s="268">
        <f>[4]Datos!$K$30*'FFM '!C22/100</f>
        <v>14300152.199999999</v>
      </c>
      <c r="E22" s="40"/>
    </row>
    <row r="23" spans="2:5" ht="30" customHeight="1" x14ac:dyDescent="0.25">
      <c r="B23" s="269" t="s">
        <v>63</v>
      </c>
      <c r="C23" s="239">
        <v>4.6900000000000004</v>
      </c>
      <c r="D23" s="268">
        <f>[4]Datos!$K$30*'FFM '!C23/100</f>
        <v>20140454.600000001</v>
      </c>
      <c r="E23" s="40"/>
    </row>
    <row r="24" spans="2:5" ht="30" customHeight="1" x14ac:dyDescent="0.25">
      <c r="B24" s="269" t="s">
        <v>64</v>
      </c>
      <c r="C24" s="239">
        <v>2.13</v>
      </c>
      <c r="D24" s="268">
        <f>[4]Datos!$K$30*'FFM '!C24/100</f>
        <v>9146944.1999999993</v>
      </c>
      <c r="E24" s="40"/>
    </row>
    <row r="25" spans="2:5" ht="30" customHeight="1" x14ac:dyDescent="0.25">
      <c r="B25" s="269" t="s">
        <v>65</v>
      </c>
      <c r="C25" s="239">
        <v>2.81</v>
      </c>
      <c r="D25" s="268">
        <f>[4]Datos!$K$30*'FFM '!C25/100</f>
        <v>12067095.4</v>
      </c>
      <c r="E25" s="40"/>
    </row>
    <row r="26" spans="2:5" ht="30" customHeight="1" x14ac:dyDescent="0.25">
      <c r="B26" s="269" t="s">
        <v>66</v>
      </c>
      <c r="C26" s="239">
        <v>8.34</v>
      </c>
      <c r="D26" s="268">
        <f>[4]Datos!$K$30*'FFM '!C26/100</f>
        <v>35814795.600000001</v>
      </c>
      <c r="E26" s="40"/>
    </row>
    <row r="27" spans="2:5" ht="30" customHeight="1" x14ac:dyDescent="0.25">
      <c r="B27" s="269" t="s">
        <v>67</v>
      </c>
      <c r="C27" s="239">
        <v>3.5</v>
      </c>
      <c r="D27" s="268">
        <f>[4]Datos!$K$30*'FFM '!C27/100</f>
        <v>15030190</v>
      </c>
      <c r="E27" s="40"/>
    </row>
    <row r="28" spans="2:5" ht="30" customHeight="1" x14ac:dyDescent="0.25">
      <c r="B28" s="269" t="s">
        <v>68</v>
      </c>
      <c r="C28" s="239">
        <v>39</v>
      </c>
      <c r="D28" s="268">
        <f>[4]Datos!$K$30*'FFM '!C28/100</f>
        <v>167479260</v>
      </c>
      <c r="E28" s="40"/>
    </row>
    <row r="29" spans="2:5" ht="30" customHeight="1" x14ac:dyDescent="0.25">
      <c r="B29" s="269" t="s">
        <v>69</v>
      </c>
      <c r="C29" s="239">
        <v>3.79</v>
      </c>
      <c r="D29" s="268">
        <f>[4]Datos!$K$30*'FFM '!C29/100</f>
        <v>16275548.6</v>
      </c>
      <c r="E29" s="40"/>
    </row>
    <row r="30" spans="2:5" ht="30" customHeight="1" thickBot="1" x14ac:dyDescent="0.3">
      <c r="B30" s="269" t="s">
        <v>70</v>
      </c>
      <c r="C30" s="239">
        <v>3.1</v>
      </c>
      <c r="D30" s="268">
        <f>[4]Datos!$K$30*'FFM '!C30/100</f>
        <v>13312454</v>
      </c>
      <c r="E30" s="40"/>
    </row>
    <row r="31" spans="2:5" ht="15.75" thickBot="1" x14ac:dyDescent="0.3">
      <c r="B31" s="240" t="s">
        <v>71</v>
      </c>
      <c r="C31" s="241">
        <f>SUM(C11:C30)</f>
        <v>100</v>
      </c>
      <c r="D31" s="270">
        <v>429434000</v>
      </c>
      <c r="E31" s="40"/>
    </row>
    <row r="32" spans="2:5" x14ac:dyDescent="0.25">
      <c r="B32" s="22"/>
      <c r="C32" s="170"/>
      <c r="D32" s="22"/>
    </row>
    <row r="36" spans="2:4" ht="15.75" hidden="1" x14ac:dyDescent="0.25">
      <c r="B36" s="387" t="s">
        <v>182</v>
      </c>
      <c r="C36" s="387"/>
      <c r="D36" s="387"/>
    </row>
    <row r="37" spans="2:4" hidden="1" x14ac:dyDescent="0.25">
      <c r="B37" s="22"/>
      <c r="C37" s="22"/>
      <c r="D37" s="22"/>
    </row>
    <row r="38" spans="2:4" hidden="1" x14ac:dyDescent="0.25">
      <c r="B38" s="378" t="s">
        <v>38</v>
      </c>
      <c r="C38" s="272" t="s">
        <v>39</v>
      </c>
      <c r="D38" s="272" t="s">
        <v>95</v>
      </c>
    </row>
    <row r="39" spans="2:4" hidden="1" x14ac:dyDescent="0.25">
      <c r="B39" s="379"/>
      <c r="C39" s="29" t="s">
        <v>44</v>
      </c>
      <c r="D39" s="29" t="s">
        <v>45</v>
      </c>
    </row>
    <row r="40" spans="2:4" hidden="1" x14ac:dyDescent="0.25">
      <c r="B40" s="379"/>
      <c r="C40" s="32">
        <v>2014</v>
      </c>
      <c r="D40" s="32" t="s">
        <v>183</v>
      </c>
    </row>
    <row r="41" spans="2:4" hidden="1" x14ac:dyDescent="0.25">
      <c r="B41" s="380"/>
      <c r="C41" s="273" t="s">
        <v>49</v>
      </c>
      <c r="D41" s="273" t="s">
        <v>50</v>
      </c>
    </row>
    <row r="42" spans="2:4" hidden="1" x14ac:dyDescent="0.25">
      <c r="B42" s="274" t="s">
        <v>51</v>
      </c>
      <c r="C42" s="275">
        <v>3.62</v>
      </c>
      <c r="D42" s="276">
        <f>[4]Datos!K$23*'FFM '!C42%</f>
        <v>15655542.292800002</v>
      </c>
    </row>
    <row r="43" spans="2:4" hidden="1" x14ac:dyDescent="0.25">
      <c r="B43" s="84" t="s">
        <v>52</v>
      </c>
      <c r="C43" s="277">
        <v>2.4700000000000002</v>
      </c>
      <c r="D43" s="93">
        <f>[4]Datos!K$23*'FFM '!C43%</f>
        <v>10682096.536800001</v>
      </c>
    </row>
    <row r="44" spans="2:4" hidden="1" x14ac:dyDescent="0.25">
      <c r="B44" s="84" t="s">
        <v>53</v>
      </c>
      <c r="C44" s="277">
        <v>2.33</v>
      </c>
      <c r="D44" s="93">
        <f>[4]Datos!K$23*'FFM '!C44%</f>
        <v>10076633.575200001</v>
      </c>
    </row>
    <row r="45" spans="2:4" hidden="1" x14ac:dyDescent="0.25">
      <c r="B45" s="84" t="s">
        <v>54</v>
      </c>
      <c r="C45" s="277">
        <v>2.81</v>
      </c>
      <c r="D45" s="93">
        <f>[4]Datos!K$23*'FFM '!C45%</f>
        <v>12152506.5864</v>
      </c>
    </row>
    <row r="46" spans="2:4" hidden="1" x14ac:dyDescent="0.25">
      <c r="B46" s="84" t="s">
        <v>55</v>
      </c>
      <c r="C46" s="277">
        <v>4.6399999999999997</v>
      </c>
      <c r="D46" s="93">
        <f>[4]Datos!K$23*'FFM '!C46%</f>
        <v>20066772.441599999</v>
      </c>
    </row>
    <row r="47" spans="2:4" hidden="1" x14ac:dyDescent="0.25">
      <c r="B47" s="84" t="s">
        <v>56</v>
      </c>
      <c r="C47" s="277">
        <v>1.5</v>
      </c>
      <c r="D47" s="93">
        <f>[4]Datos!K$23*'FFM '!C47%</f>
        <v>6487103.1600000001</v>
      </c>
    </row>
    <row r="48" spans="2:4" hidden="1" x14ac:dyDescent="0.25">
      <c r="B48" s="84" t="s">
        <v>57</v>
      </c>
      <c r="C48" s="277">
        <v>1.53</v>
      </c>
      <c r="D48" s="93">
        <f>[4]Datos!K$23*'FFM '!C48%</f>
        <v>6616845.2232000008</v>
      </c>
    </row>
    <row r="49" spans="2:19" hidden="1" x14ac:dyDescent="0.25">
      <c r="B49" s="84" t="s">
        <v>58</v>
      </c>
      <c r="C49" s="277">
        <v>3.16</v>
      </c>
      <c r="D49" s="93">
        <f>[4]Datos!K$23*'FFM '!C49%</f>
        <v>13666163.990400001</v>
      </c>
    </row>
    <row r="50" spans="2:19" hidden="1" x14ac:dyDescent="0.25">
      <c r="B50" s="84" t="s">
        <v>59</v>
      </c>
      <c r="C50" s="277">
        <v>2.81</v>
      </c>
      <c r="D50" s="93">
        <f>[4]Datos!K$23*'FFM '!C50%</f>
        <v>12152506.5864</v>
      </c>
    </row>
    <row r="51" spans="2:19" hidden="1" x14ac:dyDescent="0.25">
      <c r="B51" s="84" t="s">
        <v>60</v>
      </c>
      <c r="C51" s="277">
        <v>1.6</v>
      </c>
      <c r="D51" s="93">
        <f>[4]Datos!K$23*'FFM '!C51%</f>
        <v>6919576.7039999999</v>
      </c>
    </row>
    <row r="52" spans="2:19" hidden="1" x14ac:dyDescent="0.25">
      <c r="B52" s="84" t="s">
        <v>61</v>
      </c>
      <c r="C52" s="277">
        <v>2.84</v>
      </c>
      <c r="D52" s="93">
        <f>[4]Datos!K$23*'FFM '!C52%</f>
        <v>12282248.649599999</v>
      </c>
    </row>
    <row r="53" spans="2:19" hidden="1" x14ac:dyDescent="0.25">
      <c r="B53" s="84" t="s">
        <v>62</v>
      </c>
      <c r="C53" s="277">
        <v>3.33</v>
      </c>
      <c r="D53" s="93">
        <f>[4]Datos!K$23*'FFM '!C53%</f>
        <v>14401369.015200002</v>
      </c>
    </row>
    <row r="54" spans="2:19" hidden="1" x14ac:dyDescent="0.25">
      <c r="B54" s="84" t="s">
        <v>63</v>
      </c>
      <c r="C54" s="277">
        <v>4.6900000000000004</v>
      </c>
      <c r="D54" s="93">
        <f>[4]Datos!K$23*'FFM '!C54%</f>
        <v>20283009.213600002</v>
      </c>
    </row>
    <row r="55" spans="2:19" hidden="1" x14ac:dyDescent="0.25">
      <c r="B55" s="84" t="s">
        <v>64</v>
      </c>
      <c r="C55" s="277">
        <v>2.13</v>
      </c>
      <c r="D55" s="93">
        <f>[4]Datos!K$23*'FFM '!C55%</f>
        <v>9211686.4871999994</v>
      </c>
    </row>
    <row r="56" spans="2:19" hidden="1" x14ac:dyDescent="0.25">
      <c r="B56" s="84" t="s">
        <v>65</v>
      </c>
      <c r="C56" s="277">
        <v>2.81</v>
      </c>
      <c r="D56" s="93">
        <f>[4]Datos!K$23*'FFM '!C56%</f>
        <v>12152506.5864</v>
      </c>
    </row>
    <row r="57" spans="2:19" hidden="1" x14ac:dyDescent="0.25">
      <c r="B57" s="84" t="s">
        <v>66</v>
      </c>
      <c r="C57" s="277">
        <v>8.34</v>
      </c>
      <c r="D57" s="93">
        <f>[4]Datos!K$23*'FFM '!C57%</f>
        <v>36068293.569600001</v>
      </c>
    </row>
    <row r="58" spans="2:19" hidden="1" x14ac:dyDescent="0.25">
      <c r="B58" s="84" t="s">
        <v>67</v>
      </c>
      <c r="C58" s="277">
        <v>3.5</v>
      </c>
      <c r="D58" s="93">
        <f>[4]Datos!K$23*'FFM '!C58%</f>
        <v>15136574.040000001</v>
      </c>
    </row>
    <row r="59" spans="2:19" hidden="1" x14ac:dyDescent="0.25">
      <c r="B59" s="84" t="s">
        <v>68</v>
      </c>
      <c r="C59" s="277">
        <v>39</v>
      </c>
      <c r="D59" s="93">
        <f>[4]Datos!K$23*'FFM '!C59%</f>
        <v>168664682.16</v>
      </c>
    </row>
    <row r="60" spans="2:19" hidden="1" x14ac:dyDescent="0.25">
      <c r="B60" s="84" t="s">
        <v>69</v>
      </c>
      <c r="C60" s="277">
        <v>3.79</v>
      </c>
      <c r="D60" s="93">
        <f>[4]Datos!K$23*'FFM '!C60%</f>
        <v>16390747.317600001</v>
      </c>
    </row>
    <row r="61" spans="2:19" hidden="1" x14ac:dyDescent="0.25">
      <c r="B61" s="84" t="s">
        <v>70</v>
      </c>
      <c r="C61" s="277">
        <v>3.1</v>
      </c>
      <c r="D61" s="93">
        <f>[4]Datos!K$23*'FFM '!C61%</f>
        <v>13406679.864</v>
      </c>
    </row>
    <row r="62" spans="2:19" hidden="1" x14ac:dyDescent="0.25">
      <c r="B62" s="278" t="s">
        <v>71</v>
      </c>
      <c r="C62" s="279">
        <f>SUM(C42:C61)</f>
        <v>100</v>
      </c>
      <c r="D62" s="280">
        <f>SUM(D42:D61)</f>
        <v>432473544.00000006</v>
      </c>
    </row>
    <row r="64" spans="2:19" x14ac:dyDescent="0.25">
      <c r="B64" s="1" t="s">
        <v>37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2:19" ht="21" customHeight="1" x14ac:dyDescent="0.25">
      <c r="B65" s="342" t="s">
        <v>260</v>
      </c>
      <c r="C65" s="343"/>
      <c r="D65" s="343"/>
      <c r="E65" s="281"/>
      <c r="F65" s="281"/>
      <c r="G65" s="281"/>
      <c r="H65" s="281"/>
      <c r="I65" s="281"/>
      <c r="J65" s="281"/>
      <c r="K65" s="281"/>
      <c r="L65" s="281"/>
      <c r="M65" s="281"/>
      <c r="N65" s="281"/>
      <c r="O65" s="281"/>
      <c r="P65" s="281"/>
      <c r="Q65" s="281"/>
      <c r="R65" s="281"/>
      <c r="S65" s="281"/>
    </row>
    <row r="66" spans="2:19" ht="21" customHeight="1" x14ac:dyDescent="0.25">
      <c r="B66" s="343"/>
      <c r="C66" s="343"/>
      <c r="D66" s="343"/>
    </row>
    <row r="67" spans="2:19" ht="21" customHeight="1" x14ac:dyDescent="0.25">
      <c r="B67" s="343"/>
      <c r="C67" s="343"/>
      <c r="D67" s="343"/>
    </row>
  </sheetData>
  <mergeCells count="8">
    <mergeCell ref="B38:B41"/>
    <mergeCell ref="B65:D67"/>
    <mergeCell ref="B3:D3"/>
    <mergeCell ref="B4:D4"/>
    <mergeCell ref="B5:D5"/>
    <mergeCell ref="B6:B10"/>
    <mergeCell ref="C6:D6"/>
    <mergeCell ref="B36:D36"/>
  </mergeCells>
  <printOptions horizontalCentered="1"/>
  <pageMargins left="0.70866141732283472" right="0.70866141732283472" top="0.74803149606299213" bottom="0.74803149606299213" header="0.31496062992125984" footer="0.31496062992125984"/>
  <pageSetup scale="76" orientation="portrait" r:id="rId1"/>
  <ignoredErrors>
    <ignoredError sqref="C10:D10 D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H30"/>
  <sheetViews>
    <sheetView topLeftCell="A10" workbookViewId="0">
      <selection activeCell="F12" sqref="F12"/>
    </sheetView>
  </sheetViews>
  <sheetFormatPr baseColWidth="10" defaultRowHeight="15" x14ac:dyDescent="0.25"/>
  <cols>
    <col min="1" max="1" width="3.5703125" customWidth="1"/>
    <col min="2" max="2" width="21.7109375" customWidth="1"/>
    <col min="3" max="3" width="14.85546875" customWidth="1"/>
    <col min="4" max="4" width="20" customWidth="1"/>
    <col min="5" max="5" width="13.140625" style="23" customWidth="1"/>
    <col min="6" max="6" width="22" style="24" customWidth="1"/>
    <col min="7" max="7" width="19.7109375" style="24" bestFit="1" customWidth="1"/>
    <col min="8" max="8" width="18.42578125" customWidth="1"/>
    <col min="9" max="9" width="19" customWidth="1"/>
    <col min="10" max="10" width="12.85546875" customWidth="1"/>
  </cols>
  <sheetData>
    <row r="2" spans="2:8" x14ac:dyDescent="0.25">
      <c r="B2" s="22"/>
      <c r="C2" s="22"/>
      <c r="D2" s="22"/>
    </row>
    <row r="3" spans="2:8" x14ac:dyDescent="0.25">
      <c r="B3" s="22"/>
      <c r="C3" s="22"/>
      <c r="D3" s="22"/>
      <c r="E3" s="25"/>
    </row>
    <row r="4" spans="2:8" ht="15.75" thickBot="1" x14ac:dyDescent="0.3">
      <c r="B4" s="372" t="s">
        <v>215</v>
      </c>
      <c r="C4" s="372"/>
      <c r="D4" s="372"/>
      <c r="E4" s="372"/>
      <c r="F4" s="372"/>
      <c r="G4" s="372"/>
    </row>
    <row r="5" spans="2:8" x14ac:dyDescent="0.25">
      <c r="B5" s="388" t="s">
        <v>38</v>
      </c>
      <c r="C5" s="26" t="s">
        <v>39</v>
      </c>
      <c r="D5" s="26" t="s">
        <v>40</v>
      </c>
      <c r="E5" s="390" t="s">
        <v>41</v>
      </c>
      <c r="F5" s="27" t="s">
        <v>42</v>
      </c>
      <c r="G5" s="28" t="s">
        <v>43</v>
      </c>
    </row>
    <row r="6" spans="2:8" x14ac:dyDescent="0.25">
      <c r="B6" s="389"/>
      <c r="C6" s="29" t="s">
        <v>44</v>
      </c>
      <c r="D6" s="29" t="s">
        <v>45</v>
      </c>
      <c r="E6" s="391"/>
      <c r="F6" s="30" t="s">
        <v>45</v>
      </c>
      <c r="G6" s="31" t="s">
        <v>46</v>
      </c>
    </row>
    <row r="7" spans="2:8" x14ac:dyDescent="0.25">
      <c r="B7" s="389"/>
      <c r="C7" s="32">
        <v>2014</v>
      </c>
      <c r="D7" s="32" t="s">
        <v>47</v>
      </c>
      <c r="E7" s="391"/>
      <c r="F7" s="30">
        <v>2015</v>
      </c>
      <c r="G7" s="31" t="s">
        <v>48</v>
      </c>
    </row>
    <row r="8" spans="2:8" ht="15.75" thickBot="1" x14ac:dyDescent="0.3">
      <c r="B8" s="389"/>
      <c r="C8" s="32" t="s">
        <v>49</v>
      </c>
      <c r="D8" s="32" t="s">
        <v>50</v>
      </c>
      <c r="E8" s="391"/>
      <c r="F8" s="33"/>
      <c r="G8" s="34" t="s">
        <v>38</v>
      </c>
    </row>
    <row r="9" spans="2:8" x14ac:dyDescent="0.25">
      <c r="B9" s="35" t="s">
        <v>51</v>
      </c>
      <c r="C9" s="36">
        <v>3.94</v>
      </c>
      <c r="D9" s="37">
        <f>[4]Datos!K$49*'IEPS '!C9%*22.5%</f>
        <v>812034</v>
      </c>
      <c r="E9" s="38">
        <v>0.05</v>
      </c>
      <c r="F9" s="56">
        <f>[4]Datos!$K$50*'IEPS '!E9*22.5%</f>
        <v>117000</v>
      </c>
      <c r="G9" s="39">
        <f t="shared" ref="G9:G28" si="0">D9+F9</f>
        <v>929034</v>
      </c>
      <c r="H9" s="40"/>
    </row>
    <row r="10" spans="2:8" x14ac:dyDescent="0.25">
      <c r="B10" s="41" t="s">
        <v>52</v>
      </c>
      <c r="C10" s="42">
        <v>5.78</v>
      </c>
      <c r="D10" s="43">
        <f>[4]Datos!K$49*'IEPS '!C10%*22.5%</f>
        <v>1191258</v>
      </c>
      <c r="E10" s="44">
        <v>0.05</v>
      </c>
      <c r="F10" s="57">
        <f>[4]Datos!$K$50*'IEPS '!E10*22.5%</f>
        <v>117000</v>
      </c>
      <c r="G10" s="45">
        <f t="shared" si="0"/>
        <v>1308258</v>
      </c>
      <c r="H10" s="40"/>
    </row>
    <row r="11" spans="2:8" x14ac:dyDescent="0.25">
      <c r="B11" s="41" t="s">
        <v>53</v>
      </c>
      <c r="C11" s="42">
        <v>6.12</v>
      </c>
      <c r="D11" s="43">
        <f>[4]Datos!K$49*'IEPS '!C11%*22.5%</f>
        <v>1261332</v>
      </c>
      <c r="E11" s="44">
        <v>0.05</v>
      </c>
      <c r="F11" s="57">
        <f>[4]Datos!$K$50*'IEPS '!E11*22.5%</f>
        <v>117000</v>
      </c>
      <c r="G11" s="45">
        <f t="shared" si="0"/>
        <v>1378332</v>
      </c>
      <c r="H11" s="40"/>
    </row>
    <row r="12" spans="2:8" x14ac:dyDescent="0.25">
      <c r="B12" s="41" t="s">
        <v>54</v>
      </c>
      <c r="C12" s="42">
        <v>5.08</v>
      </c>
      <c r="D12" s="43">
        <f>[4]Datos!K$49*'IEPS '!C12%*22.5%</f>
        <v>1046988</v>
      </c>
      <c r="E12" s="44">
        <v>0.05</v>
      </c>
      <c r="F12" s="57">
        <f>[4]Datos!$K$50*'IEPS '!E12*22.5%</f>
        <v>117000</v>
      </c>
      <c r="G12" s="45">
        <f t="shared" si="0"/>
        <v>1163988</v>
      </c>
      <c r="H12" s="40"/>
    </row>
    <row r="13" spans="2:8" x14ac:dyDescent="0.25">
      <c r="B13" s="41" t="s">
        <v>55</v>
      </c>
      <c r="C13" s="42">
        <v>3.07</v>
      </c>
      <c r="D13" s="43">
        <f>[4]Datos!K$49*'IEPS '!C13%*22.5%</f>
        <v>632727</v>
      </c>
      <c r="E13" s="44">
        <v>0.05</v>
      </c>
      <c r="F13" s="57">
        <f>[4]Datos!$K$50*'IEPS '!E13*22.5%</f>
        <v>117000</v>
      </c>
      <c r="G13" s="45">
        <f t="shared" si="0"/>
        <v>749727</v>
      </c>
      <c r="H13" s="40"/>
    </row>
    <row r="14" spans="2:8" x14ac:dyDescent="0.25">
      <c r="B14" s="41" t="s">
        <v>56</v>
      </c>
      <c r="C14" s="42">
        <v>9.51</v>
      </c>
      <c r="D14" s="43">
        <f>[4]Datos!K$49*'IEPS '!C14%*22.5%</f>
        <v>1960011</v>
      </c>
      <c r="E14" s="44">
        <v>0.05</v>
      </c>
      <c r="F14" s="57">
        <f>[4]Datos!$K$50*'IEPS '!E14*22.5%</f>
        <v>117000</v>
      </c>
      <c r="G14" s="45">
        <f t="shared" si="0"/>
        <v>2077011</v>
      </c>
      <c r="H14" s="40"/>
    </row>
    <row r="15" spans="2:8" x14ac:dyDescent="0.25">
      <c r="B15" s="41" t="s">
        <v>57</v>
      </c>
      <c r="C15" s="42">
        <v>9.33</v>
      </c>
      <c r="D15" s="43">
        <f>[4]Datos!K$49*'IEPS '!C15%*22.5%</f>
        <v>1922913</v>
      </c>
      <c r="E15" s="44">
        <v>0.05</v>
      </c>
      <c r="F15" s="57">
        <f>[4]Datos!$K$50*'IEPS '!E15*22.5%</f>
        <v>117000</v>
      </c>
      <c r="G15" s="45">
        <f t="shared" si="0"/>
        <v>2039913</v>
      </c>
      <c r="H15" s="40"/>
    </row>
    <row r="16" spans="2:8" x14ac:dyDescent="0.25">
      <c r="B16" s="41" t="s">
        <v>58</v>
      </c>
      <c r="C16" s="42">
        <v>4.5199999999999996</v>
      </c>
      <c r="D16" s="43">
        <f>[4]Datos!K$49*'IEPS '!C16%*22.5%</f>
        <v>931571.99999999988</v>
      </c>
      <c r="E16" s="44">
        <v>0.05</v>
      </c>
      <c r="F16" s="57">
        <f>[4]Datos!$K$50*'IEPS '!E16*22.5%</f>
        <v>117000</v>
      </c>
      <c r="G16" s="45">
        <f t="shared" si="0"/>
        <v>1048571.9999999999</v>
      </c>
      <c r="H16" s="40"/>
    </row>
    <row r="17" spans="2:8" x14ac:dyDescent="0.25">
      <c r="B17" s="41" t="s">
        <v>59</v>
      </c>
      <c r="C17" s="42">
        <v>5.08</v>
      </c>
      <c r="D17" s="43">
        <f>[4]Datos!K$49*'IEPS '!C17%*22.5%</f>
        <v>1046988</v>
      </c>
      <c r="E17" s="44">
        <v>0.05</v>
      </c>
      <c r="F17" s="57">
        <f>[4]Datos!$K$50*'IEPS '!E17*22.5%</f>
        <v>117000</v>
      </c>
      <c r="G17" s="45">
        <f t="shared" si="0"/>
        <v>1163988</v>
      </c>
      <c r="H17" s="40"/>
    </row>
    <row r="18" spans="2:8" x14ac:dyDescent="0.25">
      <c r="B18" s="41" t="s">
        <v>60</v>
      </c>
      <c r="C18" s="42">
        <v>8.92</v>
      </c>
      <c r="D18" s="43">
        <f>[4]Datos!K$49*'IEPS '!C18%*22.5%</f>
        <v>1838412</v>
      </c>
      <c r="E18" s="44">
        <v>0.05</v>
      </c>
      <c r="F18" s="57">
        <f>[4]Datos!$K$50*'IEPS '!E18*22.5%</f>
        <v>117000</v>
      </c>
      <c r="G18" s="45">
        <f t="shared" si="0"/>
        <v>1955412</v>
      </c>
      <c r="H18" s="40"/>
    </row>
    <row r="19" spans="2:8" x14ac:dyDescent="0.25">
      <c r="B19" s="41" t="s">
        <v>61</v>
      </c>
      <c r="C19" s="42">
        <v>5.0199999999999996</v>
      </c>
      <c r="D19" s="43">
        <f>[4]Datos!K$49*'IEPS '!C19%*22.5%</f>
        <v>1034621.9999999998</v>
      </c>
      <c r="E19" s="44">
        <v>0.05</v>
      </c>
      <c r="F19" s="57">
        <f>[4]Datos!$K$50*'IEPS '!E19*22.5%</f>
        <v>117000</v>
      </c>
      <c r="G19" s="45">
        <f t="shared" si="0"/>
        <v>1151621.9999999998</v>
      </c>
      <c r="H19" s="40"/>
    </row>
    <row r="20" spans="2:8" x14ac:dyDescent="0.25">
      <c r="B20" s="41" t="s">
        <v>62</v>
      </c>
      <c r="C20" s="42">
        <v>4.29</v>
      </c>
      <c r="D20" s="43">
        <f>[4]Datos!K$49*'IEPS '!C20%*22.5%</f>
        <v>884169</v>
      </c>
      <c r="E20" s="44">
        <v>0.05</v>
      </c>
      <c r="F20" s="57">
        <f>[4]Datos!$K$50*'IEPS '!E20*22.5%</f>
        <v>117000</v>
      </c>
      <c r="G20" s="45">
        <f t="shared" si="0"/>
        <v>1001169</v>
      </c>
      <c r="H20" s="40"/>
    </row>
    <row r="21" spans="2:8" x14ac:dyDescent="0.25">
      <c r="B21" s="41" t="s">
        <v>63</v>
      </c>
      <c r="C21" s="42">
        <v>3.04</v>
      </c>
      <c r="D21" s="43">
        <f>[4]Datos!K$49*'IEPS '!C21%*22.5%</f>
        <v>626544</v>
      </c>
      <c r="E21" s="44">
        <v>0.05</v>
      </c>
      <c r="F21" s="57">
        <f>[4]Datos!$K$50*'IEPS '!E21*22.5%</f>
        <v>117000</v>
      </c>
      <c r="G21" s="45">
        <f t="shared" si="0"/>
        <v>743544</v>
      </c>
      <c r="H21" s="40"/>
    </row>
    <row r="22" spans="2:8" x14ac:dyDescent="0.25">
      <c r="B22" s="41" t="s">
        <v>64</v>
      </c>
      <c r="C22" s="42">
        <v>6.7</v>
      </c>
      <c r="D22" s="43">
        <f>[4]Datos!K$49*'IEPS '!C22%*22.5%</f>
        <v>1380870</v>
      </c>
      <c r="E22" s="44">
        <v>0.05</v>
      </c>
      <c r="F22" s="57">
        <f>[4]Datos!$K$50*'IEPS '!E22*22.5%</f>
        <v>117000</v>
      </c>
      <c r="G22" s="45">
        <f t="shared" si="0"/>
        <v>1497870</v>
      </c>
      <c r="H22" s="40"/>
    </row>
    <row r="23" spans="2:8" x14ac:dyDescent="0.25">
      <c r="B23" s="41" t="s">
        <v>65</v>
      </c>
      <c r="C23" s="42">
        <v>5.08</v>
      </c>
      <c r="D23" s="43">
        <f>[4]Datos!K$49*'IEPS '!C23%*22.5%</f>
        <v>1046988</v>
      </c>
      <c r="E23" s="44">
        <v>0.05</v>
      </c>
      <c r="F23" s="57">
        <f>[4]Datos!$K$50*'IEPS '!E23*22.5%</f>
        <v>117000</v>
      </c>
      <c r="G23" s="45">
        <f t="shared" si="0"/>
        <v>1163988</v>
      </c>
      <c r="H23" s="40"/>
    </row>
    <row r="24" spans="2:8" x14ac:dyDescent="0.25">
      <c r="B24" s="41" t="s">
        <v>66</v>
      </c>
      <c r="C24" s="42">
        <v>1.7</v>
      </c>
      <c r="D24" s="43">
        <f>[4]Datos!K$49*'IEPS '!C24%*22.5%</f>
        <v>350370</v>
      </c>
      <c r="E24" s="44">
        <v>0.05</v>
      </c>
      <c r="F24" s="57">
        <f>[4]Datos!$K$50*'IEPS '!E24*22.5%</f>
        <v>117000</v>
      </c>
      <c r="G24" s="45">
        <f t="shared" si="0"/>
        <v>467370</v>
      </c>
      <c r="H24" s="40"/>
    </row>
    <row r="25" spans="2:8" x14ac:dyDescent="0.25">
      <c r="B25" s="41" t="s">
        <v>67</v>
      </c>
      <c r="C25" s="42">
        <v>4.08</v>
      </c>
      <c r="D25" s="43">
        <f>[4]Datos!K$49*'IEPS '!C25%*22.5%</f>
        <v>840888.00000000012</v>
      </c>
      <c r="E25" s="44">
        <v>0.05</v>
      </c>
      <c r="F25" s="57">
        <f>[4]Datos!$K$50*'IEPS '!E25*22.5%</f>
        <v>117000</v>
      </c>
      <c r="G25" s="45">
        <f t="shared" si="0"/>
        <v>957888.00000000012</v>
      </c>
      <c r="H25" s="40"/>
    </row>
    <row r="26" spans="2:8" x14ac:dyDescent="0.25">
      <c r="B26" s="41" t="s">
        <v>68</v>
      </c>
      <c r="C26" s="42">
        <v>0.37</v>
      </c>
      <c r="D26" s="43">
        <f>[4]Datos!K$49*'IEPS '!C26%*22.5%</f>
        <v>76257</v>
      </c>
      <c r="E26" s="44">
        <v>0.05</v>
      </c>
      <c r="F26" s="57">
        <f>[4]Datos!$K$50*'IEPS '!E26*22.5%</f>
        <v>117000</v>
      </c>
      <c r="G26" s="45">
        <f t="shared" si="0"/>
        <v>193257</v>
      </c>
      <c r="H26" s="40"/>
    </row>
    <row r="27" spans="2:8" x14ac:dyDescent="0.25">
      <c r="B27" s="41" t="s">
        <v>69</v>
      </c>
      <c r="C27" s="42">
        <v>3.77</v>
      </c>
      <c r="D27" s="43">
        <f>[4]Datos!K$49*'IEPS '!C27%*22.5%</f>
        <v>776996.99999999988</v>
      </c>
      <c r="E27" s="44">
        <v>0.05</v>
      </c>
      <c r="F27" s="57">
        <f>[4]Datos!$K$50*'IEPS '!E27*22.5%</f>
        <v>117000</v>
      </c>
      <c r="G27" s="45">
        <f t="shared" si="0"/>
        <v>893996.99999999988</v>
      </c>
      <c r="H27" s="40"/>
    </row>
    <row r="28" spans="2:8" ht="15.75" thickBot="1" x14ac:dyDescent="0.3">
      <c r="B28" s="46" t="s">
        <v>70</v>
      </c>
      <c r="C28" s="47">
        <v>4.5999999999999996</v>
      </c>
      <c r="D28" s="48">
        <f>[4]Datos!K$49*'IEPS '!C28%*22.5%</f>
        <v>948060</v>
      </c>
      <c r="E28" s="49">
        <v>0.05</v>
      </c>
      <c r="F28" s="58">
        <f>[4]Datos!$K$50*'IEPS '!E28*22.5%</f>
        <v>117000</v>
      </c>
      <c r="G28" s="50">
        <f t="shared" si="0"/>
        <v>1065060</v>
      </c>
      <c r="H28" s="40"/>
    </row>
    <row r="29" spans="2:8" ht="15.75" thickBot="1" x14ac:dyDescent="0.3">
      <c r="B29" s="51" t="s">
        <v>71</v>
      </c>
      <c r="C29" s="52">
        <f t="shared" ref="C29:G29" si="1">SUM(C9:C28)</f>
        <v>100</v>
      </c>
      <c r="D29" s="53">
        <f>[4]Datos!K$49*'IEPS '!C29%*22.5%</f>
        <v>20610000</v>
      </c>
      <c r="E29" s="54">
        <v>100</v>
      </c>
      <c r="F29" s="59">
        <f>[4]Datos!L50</f>
        <v>2340000</v>
      </c>
      <c r="G29" s="55">
        <f t="shared" si="1"/>
        <v>22950000</v>
      </c>
      <c r="H29" s="40"/>
    </row>
    <row r="30" spans="2:8" x14ac:dyDescent="0.25">
      <c r="B30" s="22"/>
      <c r="C30" s="22"/>
      <c r="D30" s="22"/>
      <c r="E30" s="25"/>
    </row>
  </sheetData>
  <mergeCells count="3">
    <mergeCell ref="B4:G4"/>
    <mergeCell ref="B5:B8"/>
    <mergeCell ref="E5:E8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D7 C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B2:J31"/>
  <sheetViews>
    <sheetView topLeftCell="A8" workbookViewId="0">
      <selection activeCell="B31" sqref="B31"/>
    </sheetView>
  </sheetViews>
  <sheetFormatPr baseColWidth="10" defaultColWidth="11.42578125" defaultRowHeight="14.25" x14ac:dyDescent="0.2"/>
  <cols>
    <col min="1" max="1" width="3.5703125" style="22" customWidth="1"/>
    <col min="2" max="3" width="20.42578125" style="22" customWidth="1"/>
    <col min="4" max="4" width="19.140625" style="22" customWidth="1"/>
    <col min="5" max="5" width="17.5703125" style="22" customWidth="1"/>
    <col min="6" max="6" width="16.5703125" style="22" customWidth="1"/>
    <col min="7" max="7" width="20.140625" style="22" bestFit="1" customWidth="1"/>
    <col min="8" max="8" width="18" style="25" bestFit="1" customWidth="1"/>
    <col min="9" max="9" width="11.5703125" style="22" bestFit="1" customWidth="1"/>
    <col min="10" max="16384" width="11.42578125" style="22"/>
  </cols>
  <sheetData>
    <row r="2" spans="2:10" ht="15" x14ac:dyDescent="0.25">
      <c r="H2" s="60"/>
    </row>
    <row r="4" spans="2:10" ht="15.75" thickBot="1" x14ac:dyDescent="0.3">
      <c r="B4" s="372" t="s">
        <v>216</v>
      </c>
      <c r="C4" s="372"/>
      <c r="D4" s="372"/>
      <c r="E4" s="372"/>
      <c r="F4" s="372"/>
      <c r="G4" s="372"/>
      <c r="H4" s="372"/>
    </row>
    <row r="5" spans="2:10" ht="15" x14ac:dyDescent="0.25">
      <c r="B5" s="362" t="s">
        <v>38</v>
      </c>
      <c r="C5" s="63" t="s">
        <v>39</v>
      </c>
      <c r="D5" s="116" t="s">
        <v>95</v>
      </c>
      <c r="E5" s="362" t="s">
        <v>96</v>
      </c>
      <c r="F5" s="392"/>
      <c r="G5" s="117" t="s">
        <v>97</v>
      </c>
      <c r="H5" s="118" t="s">
        <v>77</v>
      </c>
      <c r="I5" s="61"/>
      <c r="J5" s="61"/>
    </row>
    <row r="6" spans="2:10" ht="15.75" thickBot="1" x14ac:dyDescent="0.3">
      <c r="B6" s="383"/>
      <c r="C6" s="70" t="s">
        <v>44</v>
      </c>
      <c r="D6" s="61" t="s">
        <v>45</v>
      </c>
      <c r="E6" s="383">
        <v>2010</v>
      </c>
      <c r="F6" s="393"/>
      <c r="G6" s="71"/>
      <c r="H6" s="119" t="s">
        <v>106</v>
      </c>
      <c r="I6" s="61"/>
      <c r="J6" s="61"/>
    </row>
    <row r="7" spans="2:10" ht="15" x14ac:dyDescent="0.25">
      <c r="B7" s="383"/>
      <c r="C7" s="75">
        <v>2014</v>
      </c>
      <c r="D7" s="83" t="s">
        <v>47</v>
      </c>
      <c r="E7" s="62" t="s">
        <v>98</v>
      </c>
      <c r="F7" s="63" t="s">
        <v>99</v>
      </c>
      <c r="G7" s="71" t="s">
        <v>100</v>
      </c>
      <c r="H7" s="119" t="s">
        <v>105</v>
      </c>
      <c r="I7" s="61"/>
      <c r="J7" s="61"/>
    </row>
    <row r="8" spans="2:10" ht="15.75" thickBot="1" x14ac:dyDescent="0.3">
      <c r="B8" s="384"/>
      <c r="C8" s="82" t="s">
        <v>49</v>
      </c>
      <c r="D8" s="120" t="s">
        <v>50</v>
      </c>
      <c r="E8" s="81" t="s">
        <v>101</v>
      </c>
      <c r="F8" s="82" t="s">
        <v>102</v>
      </c>
      <c r="G8" s="120" t="s">
        <v>103</v>
      </c>
      <c r="H8" s="82" t="s">
        <v>104</v>
      </c>
      <c r="I8" s="83"/>
      <c r="J8" s="61"/>
    </row>
    <row r="9" spans="2:10" x14ac:dyDescent="0.2">
      <c r="B9" s="41" t="s">
        <v>51</v>
      </c>
      <c r="C9" s="42">
        <v>3.65</v>
      </c>
      <c r="D9" s="135">
        <f>[4]Datos!K$54*'GASOLINA '!C9%*22.5%</f>
        <v>1418873.625</v>
      </c>
      <c r="E9" s="136">
        <v>36572</v>
      </c>
      <c r="F9" s="131">
        <v>3.3707564846877225</v>
      </c>
      <c r="G9" s="121">
        <f>[4]Datos!K$55*'GASOLINA '!F9%*22.5%</f>
        <v>229270.42919724714</v>
      </c>
      <c r="H9" s="122">
        <f>D9+G9</f>
        <v>1648144.0541972471</v>
      </c>
      <c r="I9" s="123"/>
      <c r="J9" s="94"/>
    </row>
    <row r="10" spans="2:10" x14ac:dyDescent="0.2">
      <c r="B10" s="41" t="s">
        <v>52</v>
      </c>
      <c r="C10" s="42">
        <v>1.49</v>
      </c>
      <c r="D10" s="137">
        <f>[4]Datos!K$54*'GASOLINA '!C10%*22.5%</f>
        <v>579211.42500000005</v>
      </c>
      <c r="E10" s="138">
        <v>15229</v>
      </c>
      <c r="F10" s="131">
        <v>1.4036216369164749</v>
      </c>
      <c r="G10" s="121">
        <f>[4]Datos!K$55*'GASOLINA '!F10%*22.5%</f>
        <v>95470.834688966337</v>
      </c>
      <c r="H10" s="122">
        <f t="shared" ref="H10:H29" si="0">D10+G10</f>
        <v>674682.25968896644</v>
      </c>
      <c r="I10" s="123"/>
      <c r="J10" s="94"/>
    </row>
    <row r="11" spans="2:10" x14ac:dyDescent="0.2">
      <c r="B11" s="41" t="s">
        <v>53</v>
      </c>
      <c r="C11" s="42">
        <v>1.0900000000000001</v>
      </c>
      <c r="D11" s="137">
        <f>[4]Datos!K$54*'GASOLINA '!C11%*22.5%</f>
        <v>423718.42499999999</v>
      </c>
      <c r="E11" s="139">
        <v>11188</v>
      </c>
      <c r="F11" s="131">
        <v>1.0311720319010782</v>
      </c>
      <c r="G11" s="121">
        <f>[4]Datos!K$55*'GASOLINA '!F11%*22.5%</f>
        <v>70137.743679831576</v>
      </c>
      <c r="H11" s="122">
        <f t="shared" si="0"/>
        <v>493856.16867983155</v>
      </c>
      <c r="I11" s="123"/>
      <c r="J11" s="94"/>
    </row>
    <row r="12" spans="2:10" x14ac:dyDescent="0.2">
      <c r="B12" s="41" t="s">
        <v>54</v>
      </c>
      <c r="C12" s="42">
        <v>8.82</v>
      </c>
      <c r="D12" s="137">
        <f>[4]Datos!K$54*'GASOLINA '!C12%*22.5%</f>
        <v>3428620.65</v>
      </c>
      <c r="E12" s="139">
        <v>124205</v>
      </c>
      <c r="F12" s="131">
        <v>11.447687005923617</v>
      </c>
      <c r="G12" s="121">
        <f>[4]Datos!K$55*'GASOLINA '!F12%*22.5%</f>
        <v>778643.05092540977</v>
      </c>
      <c r="H12" s="122">
        <f t="shared" si="0"/>
        <v>4207263.7009254098</v>
      </c>
      <c r="I12" s="124"/>
      <c r="J12" s="94"/>
    </row>
    <row r="13" spans="2:10" x14ac:dyDescent="0.2">
      <c r="B13" s="41" t="s">
        <v>55</v>
      </c>
      <c r="C13" s="42">
        <v>6.63</v>
      </c>
      <c r="D13" s="137">
        <f>[4]Datos!K$54*'GASOLINA '!C13%*22.5%</f>
        <v>2577296.4750000001</v>
      </c>
      <c r="E13" s="139">
        <v>70399</v>
      </c>
      <c r="F13" s="131">
        <v>6.4885126808905982</v>
      </c>
      <c r="G13" s="121">
        <f>[4]Datos!K$55*'GASOLINA '!F13%*22.5%</f>
        <v>441332.41127247631</v>
      </c>
      <c r="H13" s="122">
        <f t="shared" si="0"/>
        <v>3018628.8862724765</v>
      </c>
      <c r="I13" s="123"/>
      <c r="J13" s="94"/>
    </row>
    <row r="14" spans="2:10" x14ac:dyDescent="0.2">
      <c r="B14" s="41" t="s">
        <v>56</v>
      </c>
      <c r="C14" s="42">
        <v>3.22</v>
      </c>
      <c r="D14" s="137">
        <f>[4]Datos!K$54*'GASOLINA '!C14%*22.5%</f>
        <v>1251718.6500000001</v>
      </c>
      <c r="E14" s="139">
        <v>34300</v>
      </c>
      <c r="F14" s="131">
        <v>3.1613515100292262</v>
      </c>
      <c r="G14" s="121">
        <f>[4]Datos!K$55*'GASOLINA '!F14%*22.5%</f>
        <v>215027.22633341289</v>
      </c>
      <c r="H14" s="122">
        <f t="shared" si="0"/>
        <v>1466745.8763334129</v>
      </c>
      <c r="I14" s="123"/>
      <c r="J14" s="94"/>
    </row>
    <row r="15" spans="2:10" x14ac:dyDescent="0.2">
      <c r="B15" s="41" t="s">
        <v>57</v>
      </c>
      <c r="C15" s="42">
        <v>1.1100000000000001</v>
      </c>
      <c r="D15" s="137">
        <f>[4]Datos!K$54*'GASOLINA '!C15%*22.5%</f>
        <v>431493.07500000001</v>
      </c>
      <c r="E15" s="139">
        <v>11400</v>
      </c>
      <c r="F15" s="131">
        <v>1.050711580592804</v>
      </c>
      <c r="G15" s="121">
        <f>[4]Datos!K$55*'GASOLINA '!F15%*22.5%</f>
        <v>71466.77493297105</v>
      </c>
      <c r="H15" s="122">
        <f t="shared" si="0"/>
        <v>502959.84993297106</v>
      </c>
      <c r="I15" s="123"/>
      <c r="J15" s="94"/>
    </row>
    <row r="16" spans="2:10" x14ac:dyDescent="0.2">
      <c r="B16" s="41" t="s">
        <v>58</v>
      </c>
      <c r="C16" s="42">
        <v>2.71</v>
      </c>
      <c r="D16" s="137">
        <f>[4]Datos!K$54*'GASOLINA '!C16%*22.5%</f>
        <v>1053465.075</v>
      </c>
      <c r="E16" s="139">
        <v>27273</v>
      </c>
      <c r="F16" s="131">
        <v>2.5136892050445216</v>
      </c>
      <c r="G16" s="121">
        <f>[4]Datos!K$55*'GASOLINA '!F16%*22.5%</f>
        <v>170974.85550411572</v>
      </c>
      <c r="H16" s="122">
        <f t="shared" si="0"/>
        <v>1224439.9305041158</v>
      </c>
      <c r="I16" s="123"/>
      <c r="J16" s="94"/>
    </row>
    <row r="17" spans="2:10" x14ac:dyDescent="0.2">
      <c r="B17" s="41" t="s">
        <v>59</v>
      </c>
      <c r="C17" s="42">
        <v>1.69</v>
      </c>
      <c r="D17" s="137">
        <f>[4]Datos!K$54*'GASOLINA '!C17%*22.5%</f>
        <v>656957.92499999993</v>
      </c>
      <c r="E17" s="139">
        <v>17698</v>
      </c>
      <c r="F17" s="131">
        <v>1.6311836450290742</v>
      </c>
      <c r="G17" s="121">
        <f>[4]Datos!K$55*'GASOLINA '!F17%*22.5%</f>
        <v>110949.03357576505</v>
      </c>
      <c r="H17" s="122">
        <f t="shared" si="0"/>
        <v>767906.95857576502</v>
      </c>
      <c r="I17" s="123"/>
      <c r="J17" s="94"/>
    </row>
    <row r="18" spans="2:10" x14ac:dyDescent="0.2">
      <c r="B18" s="41" t="s">
        <v>60</v>
      </c>
      <c r="C18" s="42">
        <v>1.27</v>
      </c>
      <c r="D18" s="137">
        <f>[4]Datos!K$54*'GASOLINA '!C18%*22.5%</f>
        <v>493690.27500000002</v>
      </c>
      <c r="E18" s="139">
        <v>13600</v>
      </c>
      <c r="F18" s="131">
        <v>1.2534804821107137</v>
      </c>
      <c r="G18" s="121">
        <f>[4]Datos!K$55*'GASOLINA '!F18%*22.5%</f>
        <v>85258.608691965477</v>
      </c>
      <c r="H18" s="122">
        <f t="shared" si="0"/>
        <v>578948.88369196549</v>
      </c>
      <c r="I18" s="123"/>
      <c r="J18" s="94"/>
    </row>
    <row r="19" spans="2:10" x14ac:dyDescent="0.2">
      <c r="B19" s="41" t="s">
        <v>61</v>
      </c>
      <c r="C19" s="42">
        <v>3.39</v>
      </c>
      <c r="D19" s="137">
        <f>[4]Datos!K$54*'GASOLINA '!C19%*22.5%</f>
        <v>1317803.175</v>
      </c>
      <c r="E19" s="139">
        <v>34393</v>
      </c>
      <c r="F19" s="131">
        <v>3.1699231045024834</v>
      </c>
      <c r="G19" s="121">
        <f>[4]Datos!K$55*'GASOLINA '!F19%*22.5%</f>
        <v>215610.24476049765</v>
      </c>
      <c r="H19" s="122">
        <f t="shared" si="0"/>
        <v>1533413.4197604978</v>
      </c>
      <c r="I19" s="123"/>
      <c r="J19" s="94"/>
    </row>
    <row r="20" spans="2:10" x14ac:dyDescent="0.2">
      <c r="B20" s="41" t="s">
        <v>62</v>
      </c>
      <c r="C20" s="42">
        <v>2.21</v>
      </c>
      <c r="D20" s="137">
        <f>[4]Datos!K$54*'GASOLINA '!C20%*22.5%</f>
        <v>859098.82499999995</v>
      </c>
      <c r="E20" s="139">
        <v>23469</v>
      </c>
      <c r="F20" s="131">
        <v>2.1630833407835541</v>
      </c>
      <c r="G20" s="121">
        <f>[4]Datos!K$55*'GASOLINA '!F20%*22.5%</f>
        <v>147127.52113174539</v>
      </c>
      <c r="H20" s="122">
        <f t="shared" si="0"/>
        <v>1006226.3461317454</v>
      </c>
      <c r="I20" s="123"/>
      <c r="J20" s="94"/>
    </row>
    <row r="21" spans="2:10" x14ac:dyDescent="0.2">
      <c r="B21" s="41" t="s">
        <v>63</v>
      </c>
      <c r="C21" s="42">
        <v>3.95</v>
      </c>
      <c r="D21" s="137">
        <f>[4]Datos!K$54*'GASOLINA '!C21%*22.5%</f>
        <v>1535493.375</v>
      </c>
      <c r="E21" s="139">
        <v>43120</v>
      </c>
      <c r="F21" s="131">
        <v>3.9742704697510276</v>
      </c>
      <c r="G21" s="121">
        <f>[4]Datos!K$55*'GASOLINA '!F21%*22.5%</f>
        <v>270319.94167629053</v>
      </c>
      <c r="H21" s="122">
        <f t="shared" si="0"/>
        <v>1805813.3166762905</v>
      </c>
      <c r="I21" s="124"/>
      <c r="J21" s="94"/>
    </row>
    <row r="22" spans="2:10" x14ac:dyDescent="0.2">
      <c r="B22" s="41" t="s">
        <v>64</v>
      </c>
      <c r="C22" s="42">
        <v>0.75</v>
      </c>
      <c r="D22" s="137">
        <f>[4]Datos!K$54*'GASOLINA '!C22%*22.5%</f>
        <v>291549.375</v>
      </c>
      <c r="E22" s="139">
        <v>7510</v>
      </c>
      <c r="F22" s="131">
        <v>0.69217929563613667</v>
      </c>
      <c r="G22" s="121">
        <f>[4]Datos!K$55*'GASOLINA '!F22%*22.5%</f>
        <v>47080.305240930924</v>
      </c>
      <c r="H22" s="122">
        <f t="shared" si="0"/>
        <v>338629.68024093093</v>
      </c>
      <c r="I22" s="123"/>
      <c r="J22" s="94"/>
    </row>
    <row r="23" spans="2:10" x14ac:dyDescent="0.2">
      <c r="B23" s="41" t="s">
        <v>65</v>
      </c>
      <c r="C23" s="42">
        <v>2.2799999999999998</v>
      </c>
      <c r="D23" s="137">
        <f>[4]Datos!K$54*'GASOLINA '!C23%*22.5%</f>
        <v>886310.09999999986</v>
      </c>
      <c r="E23" s="139">
        <v>22412</v>
      </c>
      <c r="F23" s="131">
        <v>2.0656621003724496</v>
      </c>
      <c r="G23" s="121">
        <f>[4]Datos!K$55*'GASOLINA '!F23%*22.5%</f>
        <v>140501.17191208311</v>
      </c>
      <c r="H23" s="122">
        <f t="shared" si="0"/>
        <v>1026811.271912083</v>
      </c>
      <c r="I23" s="123"/>
      <c r="J23" s="94"/>
    </row>
    <row r="24" spans="2:10" x14ac:dyDescent="0.2">
      <c r="B24" s="41" t="s">
        <v>66</v>
      </c>
      <c r="C24" s="42">
        <v>8.8800000000000008</v>
      </c>
      <c r="D24" s="137">
        <f>[4]Datos!K$54*'GASOLINA '!C24%*22.5%</f>
        <v>3451944.6</v>
      </c>
      <c r="E24" s="139">
        <v>93074</v>
      </c>
      <c r="F24" s="131">
        <v>8.5784148817626882</v>
      </c>
      <c r="G24" s="121">
        <f>[4]Datos!K$55*'GASOLINA '!F24%*22.5%</f>
        <v>583482.33422029368</v>
      </c>
      <c r="H24" s="122">
        <f t="shared" si="0"/>
        <v>4035426.9342202935</v>
      </c>
      <c r="I24" s="123"/>
      <c r="J24" s="94"/>
    </row>
    <row r="25" spans="2:10" x14ac:dyDescent="0.2">
      <c r="B25" s="41" t="s">
        <v>67</v>
      </c>
      <c r="C25" s="42">
        <v>3.92</v>
      </c>
      <c r="D25" s="137">
        <f>[4]Datos!K$54*'GASOLINA '!C25%*22.5%</f>
        <v>1523831.4000000001</v>
      </c>
      <c r="E25" s="139">
        <v>39756</v>
      </c>
      <c r="F25" s="131">
        <v>3.6642183857936419</v>
      </c>
      <c r="G25" s="121">
        <f>[4]Datos!K$55*'GASOLINA '!F25%*22.5%</f>
        <v>249230.97405571907</v>
      </c>
      <c r="H25" s="122">
        <f t="shared" si="0"/>
        <v>1773062.3740557192</v>
      </c>
      <c r="I25" s="123"/>
      <c r="J25" s="94"/>
    </row>
    <row r="26" spans="2:10" x14ac:dyDescent="0.2">
      <c r="B26" s="41" t="s">
        <v>68</v>
      </c>
      <c r="C26" s="42">
        <v>35.409999999999997</v>
      </c>
      <c r="D26" s="137">
        <f>[4]Datos!K$54*'GASOLINA '!C26%*22.5%</f>
        <v>13765017.824999999</v>
      </c>
      <c r="E26" s="139">
        <v>380249</v>
      </c>
      <c r="F26" s="131">
        <v>35.046669106037996</v>
      </c>
      <c r="G26" s="121">
        <f>[4]Datos!K$55*'GASOLINA '!F26%*22.5%</f>
        <v>2383786.8159199394</v>
      </c>
      <c r="H26" s="122">
        <f t="shared" si="0"/>
        <v>16148804.640919939</v>
      </c>
      <c r="I26" s="123"/>
      <c r="J26" s="94"/>
    </row>
    <row r="27" spans="2:10" x14ac:dyDescent="0.2">
      <c r="B27" s="41" t="s">
        <v>69</v>
      </c>
      <c r="C27" s="42">
        <v>3.01</v>
      </c>
      <c r="D27" s="137">
        <f>[4]Datos!K$54*'GASOLINA '!C27%*22.5%</f>
        <v>1170084.825</v>
      </c>
      <c r="E27" s="139">
        <v>30030</v>
      </c>
      <c r="F27" s="131">
        <v>2.7677955057194654</v>
      </c>
      <c r="G27" s="121">
        <f>[4]Datos!K$55*'GASOLINA '!F27%*22.5%</f>
        <v>188258.53081027375</v>
      </c>
      <c r="H27" s="122">
        <f t="shared" si="0"/>
        <v>1358343.3558102737</v>
      </c>
      <c r="I27" s="123"/>
      <c r="J27" s="94"/>
    </row>
    <row r="28" spans="2:10" ht="15" thickBot="1" x14ac:dyDescent="0.25">
      <c r="B28" s="41" t="s">
        <v>70</v>
      </c>
      <c r="C28" s="42">
        <v>4.5199999999999996</v>
      </c>
      <c r="D28" s="140">
        <f>[4]Datos!K$54*'GASOLINA '!C28%*22.5%</f>
        <v>1757070.9</v>
      </c>
      <c r="E28" s="141">
        <v>49102</v>
      </c>
      <c r="F28" s="132">
        <v>4.5256175465147246</v>
      </c>
      <c r="G28" s="121">
        <f>[4]Datos!K$55*'GASOLINA '!F28%*22.5%</f>
        <v>307821.19147006527</v>
      </c>
      <c r="H28" s="122">
        <f t="shared" si="0"/>
        <v>2064892.0914700651</v>
      </c>
      <c r="I28" s="124"/>
      <c r="J28" s="94"/>
    </row>
    <row r="29" spans="2:10" ht="15.75" thickBot="1" x14ac:dyDescent="0.3">
      <c r="B29" s="125" t="s">
        <v>71</v>
      </c>
      <c r="C29" s="126">
        <f t="shared" ref="C29" si="1">SUM(C9:C28)</f>
        <v>100</v>
      </c>
      <c r="D29" s="133">
        <f t="shared" ref="D29" si="2">SUM(D9:D28)</f>
        <v>38873250</v>
      </c>
      <c r="E29" s="134">
        <f>SUM(E9:E28)</f>
        <v>1084979</v>
      </c>
      <c r="F29" s="142">
        <f>SUM(F9:F28)</f>
        <v>99.999999999999986</v>
      </c>
      <c r="G29" s="128">
        <f>SUM(G9:G28)</f>
        <v>6801750.0000000009</v>
      </c>
      <c r="H29" s="130">
        <f t="shared" si="0"/>
        <v>45675000</v>
      </c>
      <c r="I29" s="95"/>
      <c r="J29" s="110"/>
    </row>
    <row r="30" spans="2:10" x14ac:dyDescent="0.2">
      <c r="G30" s="129"/>
    </row>
    <row r="31" spans="2:10" x14ac:dyDescent="0.2">
      <c r="B31" s="22" t="s">
        <v>72</v>
      </c>
    </row>
  </sheetData>
  <mergeCells count="4">
    <mergeCell ref="B4:H4"/>
    <mergeCell ref="B5:B8"/>
    <mergeCell ref="E5:F5"/>
    <mergeCell ref="E6:F6"/>
  </mergeCells>
  <pageMargins left="0.70866141732283472" right="0.70866141732283472" top="0.74803149606299213" bottom="0.74803149606299213" header="0.31496062992125984" footer="0.31496062992125984"/>
  <pageSetup scale="89" orientation="landscape" r:id="rId1"/>
  <ignoredErrors>
    <ignoredError sqref="D7:D8 C8 E8:H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K31"/>
  <sheetViews>
    <sheetView topLeftCell="A12" zoomScaleNormal="100" workbookViewId="0">
      <selection activeCell="F33" sqref="F33"/>
    </sheetView>
  </sheetViews>
  <sheetFormatPr baseColWidth="10" defaultRowHeight="15" x14ac:dyDescent="0.25"/>
  <cols>
    <col min="1" max="1" width="3.5703125" customWidth="1"/>
    <col min="2" max="2" width="20.42578125" customWidth="1"/>
    <col min="3" max="3" width="14.28515625" customWidth="1"/>
    <col min="4" max="4" width="17.28515625" customWidth="1"/>
    <col min="5" max="6" width="16.5703125" customWidth="1"/>
    <col min="7" max="7" width="11.140625" style="23" customWidth="1"/>
    <col min="8" max="8" width="14.140625" style="23" customWidth="1"/>
    <col min="9" max="9" width="15.85546875" customWidth="1"/>
    <col min="10" max="10" width="16.140625" style="24" bestFit="1" customWidth="1"/>
    <col min="11" max="11" width="18.5703125" style="24" bestFit="1" customWidth="1"/>
  </cols>
  <sheetData>
    <row r="2" spans="2:11" x14ac:dyDescent="0.25">
      <c r="B2" s="372" t="s">
        <v>261</v>
      </c>
      <c r="C2" s="372"/>
      <c r="D2" s="372"/>
      <c r="E2" s="372"/>
      <c r="F2" s="372"/>
      <c r="G2" s="372"/>
      <c r="H2" s="372"/>
      <c r="I2" s="372"/>
      <c r="J2" s="372"/>
      <c r="K2" s="372"/>
    </row>
    <row r="3" spans="2:11" x14ac:dyDescent="0.25">
      <c r="B3" s="113"/>
      <c r="C3" s="113"/>
      <c r="D3" s="113"/>
      <c r="E3" s="113"/>
      <c r="F3" s="113"/>
      <c r="G3" s="114"/>
      <c r="H3" s="114"/>
      <c r="I3" s="64"/>
    </row>
    <row r="4" spans="2:11" ht="15.75" thickBot="1" x14ac:dyDescent="0.3"/>
    <row r="5" spans="2:11" x14ac:dyDescent="0.25">
      <c r="B5" s="388" t="s">
        <v>38</v>
      </c>
      <c r="C5" s="26" t="s">
        <v>39</v>
      </c>
      <c r="D5" s="143" t="s">
        <v>95</v>
      </c>
      <c r="E5" s="359" t="s">
        <v>121</v>
      </c>
      <c r="F5" s="117"/>
      <c r="G5" s="63" t="s">
        <v>96</v>
      </c>
      <c r="H5" s="116" t="s">
        <v>107</v>
      </c>
      <c r="I5" s="63" t="s">
        <v>108</v>
      </c>
      <c r="J5" s="144" t="s">
        <v>109</v>
      </c>
      <c r="K5" s="145" t="s">
        <v>77</v>
      </c>
    </row>
    <row r="6" spans="2:11" ht="19.5" customHeight="1" x14ac:dyDescent="0.25">
      <c r="B6" s="389"/>
      <c r="C6" s="29" t="s">
        <v>44</v>
      </c>
      <c r="D6" s="146" t="s">
        <v>45</v>
      </c>
      <c r="E6" s="374"/>
      <c r="F6" s="71" t="s">
        <v>110</v>
      </c>
      <c r="G6" s="70">
        <v>2010</v>
      </c>
      <c r="H6" s="61" t="s">
        <v>111</v>
      </c>
      <c r="I6" s="70" t="s">
        <v>112</v>
      </c>
      <c r="J6" s="24" t="s">
        <v>113</v>
      </c>
      <c r="K6" s="147" t="s">
        <v>114</v>
      </c>
    </row>
    <row r="7" spans="2:11" x14ac:dyDescent="0.25">
      <c r="B7" s="389"/>
      <c r="C7" s="32">
        <v>2014</v>
      </c>
      <c r="D7" s="33" t="s">
        <v>47</v>
      </c>
      <c r="E7" s="70" t="s">
        <v>115</v>
      </c>
      <c r="F7" s="61" t="s">
        <v>115</v>
      </c>
      <c r="G7" s="70"/>
      <c r="H7" s="61" t="s">
        <v>78</v>
      </c>
      <c r="I7" s="70"/>
      <c r="J7" s="24">
        <v>2015</v>
      </c>
      <c r="K7" s="147" t="s">
        <v>116</v>
      </c>
    </row>
    <row r="8" spans="2:11" ht="15.75" thickBot="1" x14ac:dyDescent="0.3">
      <c r="B8" s="394"/>
      <c r="C8" s="148" t="s">
        <v>49</v>
      </c>
      <c r="D8" s="149" t="s">
        <v>50</v>
      </c>
      <c r="E8" s="82" t="s">
        <v>101</v>
      </c>
      <c r="F8" s="120" t="s">
        <v>102</v>
      </c>
      <c r="G8" s="82" t="s">
        <v>103</v>
      </c>
      <c r="H8" s="120" t="s">
        <v>117</v>
      </c>
      <c r="I8" s="150" t="s">
        <v>118</v>
      </c>
      <c r="J8" s="120" t="s">
        <v>119</v>
      </c>
      <c r="K8" s="82" t="s">
        <v>120</v>
      </c>
    </row>
    <row r="9" spans="2:11" x14ac:dyDescent="0.25">
      <c r="B9" s="35" t="s">
        <v>51</v>
      </c>
      <c r="C9" s="151">
        <v>3.65</v>
      </c>
      <c r="D9" s="152">
        <f>[4]Datos!K$34*FOFIR!C9%*22.5%</f>
        <v>1608902.6625000001</v>
      </c>
      <c r="E9" s="136">
        <f>[4]Datos!Q74</f>
        <v>8751304.8200000003</v>
      </c>
      <c r="F9" s="153">
        <f>E9/$E$29*100</f>
        <v>1.7273595405650357</v>
      </c>
      <c r="G9" s="154">
        <v>36572</v>
      </c>
      <c r="H9" s="155">
        <f>F9*G9</f>
        <v>63172.993117544487</v>
      </c>
      <c r="I9" s="38">
        <f>H9/H$29*100</f>
        <v>0.29983650019150243</v>
      </c>
      <c r="J9" s="156">
        <f>$J$29*I9/100</f>
        <v>22324.251662633265</v>
      </c>
      <c r="K9" s="157">
        <f t="shared" ref="K9:K28" si="0">D9+J9</f>
        <v>1631226.9141626335</v>
      </c>
    </row>
    <row r="10" spans="2:11" x14ac:dyDescent="0.25">
      <c r="B10" s="41" t="s">
        <v>52</v>
      </c>
      <c r="C10" s="158">
        <v>1.49</v>
      </c>
      <c r="D10" s="159">
        <f>[4]Datos!K$34*FOFIR!C10%*22.5%</f>
        <v>656784.92249999999</v>
      </c>
      <c r="E10" s="139">
        <f>[4]Datos!Q75</f>
        <v>3034371</v>
      </c>
      <c r="F10" s="88">
        <f t="shared" ref="F10:F28" si="1">E10/$E$29*100</f>
        <v>0.5989335081192918</v>
      </c>
      <c r="G10" s="160">
        <v>15229</v>
      </c>
      <c r="H10" s="95">
        <f t="shared" ref="H10:H28" si="2">F10*G10</f>
        <v>9121.1583951486955</v>
      </c>
      <c r="I10" s="44">
        <f t="shared" ref="I10:I29" si="3">H10/H$29*100</f>
        <v>4.3291540829877156E-2</v>
      </c>
      <c r="J10" s="161">
        <f t="shared" ref="J10:J28" si="4">$J$29*I10/100</f>
        <v>3223.2608496032963</v>
      </c>
      <c r="K10" s="162">
        <f t="shared" si="0"/>
        <v>660008.18334960332</v>
      </c>
    </row>
    <row r="11" spans="2:11" x14ac:dyDescent="0.25">
      <c r="B11" s="41" t="s">
        <v>53</v>
      </c>
      <c r="C11" s="158">
        <v>1.0900000000000001</v>
      </c>
      <c r="D11" s="159">
        <f>[4]Datos!K$34*FOFIR!C11%*22.5%</f>
        <v>480466.82250000001</v>
      </c>
      <c r="E11" s="139">
        <f>[4]Datos!Q76</f>
        <v>2910047.65</v>
      </c>
      <c r="F11" s="88">
        <f t="shared" si="1"/>
        <v>0.57439418179543666</v>
      </c>
      <c r="G11" s="163">
        <v>11188</v>
      </c>
      <c r="H11" s="95">
        <f t="shared" si="2"/>
        <v>6426.3221059273455</v>
      </c>
      <c r="I11" s="44">
        <f t="shared" si="3"/>
        <v>3.0501102358080522E-2</v>
      </c>
      <c r="J11" s="161">
        <f t="shared" si="4"/>
        <v>2270.9519507952955</v>
      </c>
      <c r="K11" s="162">
        <f t="shared" si="0"/>
        <v>482737.77445079532</v>
      </c>
    </row>
    <row r="12" spans="2:11" x14ac:dyDescent="0.25">
      <c r="B12" s="41" t="s">
        <v>54</v>
      </c>
      <c r="C12" s="158">
        <v>8.82</v>
      </c>
      <c r="D12" s="159">
        <f>[4]Datos!K$34*FOFIR!C12%*22.5%</f>
        <v>3887814.1050000004</v>
      </c>
      <c r="E12" s="139">
        <f>[4]Datos!Q77</f>
        <v>166905915.52000001</v>
      </c>
      <c r="F12" s="88">
        <f t="shared" si="1"/>
        <v>32.944404460844027</v>
      </c>
      <c r="G12" s="163">
        <v>124205</v>
      </c>
      <c r="H12" s="95">
        <f t="shared" si="2"/>
        <v>4091859.7560591325</v>
      </c>
      <c r="I12" s="44">
        <f t="shared" si="3"/>
        <v>19.421098288763712</v>
      </c>
      <c r="J12" s="161">
        <f t="shared" si="4"/>
        <v>1445993.0178153301</v>
      </c>
      <c r="K12" s="162">
        <f t="shared" si="0"/>
        <v>5333807.1228153305</v>
      </c>
    </row>
    <row r="13" spans="2:11" x14ac:dyDescent="0.25">
      <c r="B13" s="41" t="s">
        <v>55</v>
      </c>
      <c r="C13" s="158">
        <v>6.63</v>
      </c>
      <c r="D13" s="159">
        <f>[4]Datos!K$34*FOFIR!C13%*22.5%</f>
        <v>2922472.5074999998</v>
      </c>
      <c r="E13" s="139">
        <f>[4]Datos!Q78</f>
        <v>36879412.078357153</v>
      </c>
      <c r="F13" s="88">
        <f t="shared" si="1"/>
        <v>7.2793721181317093</v>
      </c>
      <c r="G13" s="163">
        <v>70399</v>
      </c>
      <c r="H13" s="95">
        <f t="shared" si="2"/>
        <v>512460.51774435421</v>
      </c>
      <c r="I13" s="44">
        <f t="shared" si="3"/>
        <v>2.4322793735748989</v>
      </c>
      <c r="J13" s="161">
        <f t="shared" si="4"/>
        <v>181094.75268967569</v>
      </c>
      <c r="K13" s="162">
        <f t="shared" si="0"/>
        <v>3103567.2601896757</v>
      </c>
    </row>
    <row r="14" spans="2:11" x14ac:dyDescent="0.25">
      <c r="B14" s="41" t="s">
        <v>56</v>
      </c>
      <c r="C14" s="158">
        <v>3.22</v>
      </c>
      <c r="D14" s="159">
        <f>[4]Datos!K$34*FOFIR!C14%*22.5%</f>
        <v>1419360.7050000001</v>
      </c>
      <c r="E14" s="139">
        <f>[4]Datos!Q79</f>
        <v>62111</v>
      </c>
      <c r="F14" s="88">
        <f t="shared" si="1"/>
        <v>1.2259660774110131E-2</v>
      </c>
      <c r="G14" s="163">
        <v>34300</v>
      </c>
      <c r="H14" s="95">
        <f t="shared" si="2"/>
        <v>420.50636455197747</v>
      </c>
      <c r="I14" s="44">
        <f t="shared" si="3"/>
        <v>1.9958395262500393E-3</v>
      </c>
      <c r="J14" s="161">
        <f t="shared" si="4"/>
        <v>148.59973296706511</v>
      </c>
      <c r="K14" s="162">
        <f t="shared" si="0"/>
        <v>1419509.3047329672</v>
      </c>
    </row>
    <row r="15" spans="2:11" x14ac:dyDescent="0.25">
      <c r="B15" s="41" t="s">
        <v>57</v>
      </c>
      <c r="C15" s="158">
        <v>1.1100000000000001</v>
      </c>
      <c r="D15" s="159">
        <f>[4]Datos!K$34*FOFIR!C15%*22.5%</f>
        <v>489282.72749999998</v>
      </c>
      <c r="E15" s="139">
        <f>[4]Datos!Q80</f>
        <v>115396.96</v>
      </c>
      <c r="F15" s="88">
        <f t="shared" si="1"/>
        <v>2.277740793037555E-2</v>
      </c>
      <c r="G15" s="163">
        <v>11400</v>
      </c>
      <c r="H15" s="95">
        <f t="shared" si="2"/>
        <v>259.66245040628127</v>
      </c>
      <c r="I15" s="44">
        <f t="shared" si="3"/>
        <v>1.232429817217994E-3</v>
      </c>
      <c r="J15" s="161">
        <f t="shared" si="4"/>
        <v>91.760253933511436</v>
      </c>
      <c r="K15" s="162">
        <f t="shared" si="0"/>
        <v>489374.48775393347</v>
      </c>
    </row>
    <row r="16" spans="2:11" x14ac:dyDescent="0.25">
      <c r="B16" s="41" t="s">
        <v>58</v>
      </c>
      <c r="C16" s="158">
        <v>2.71</v>
      </c>
      <c r="D16" s="159">
        <f>[4]Datos!K$34*FOFIR!C16%*22.5%</f>
        <v>1194555.1274999999</v>
      </c>
      <c r="E16" s="139">
        <f>[4]Datos!Q81</f>
        <v>14166729.879999999</v>
      </c>
      <c r="F16" s="88">
        <f t="shared" si="1"/>
        <v>2.7962728438964097</v>
      </c>
      <c r="G16" s="163">
        <v>27273</v>
      </c>
      <c r="H16" s="95">
        <f t="shared" si="2"/>
        <v>76262.749271586785</v>
      </c>
      <c r="I16" s="44">
        <f t="shared" si="3"/>
        <v>0.36196410377497468</v>
      </c>
      <c r="J16" s="161">
        <f t="shared" si="4"/>
        <v>26949.946855539794</v>
      </c>
      <c r="K16" s="162">
        <f t="shared" si="0"/>
        <v>1221505.0743555396</v>
      </c>
    </row>
    <row r="17" spans="2:11" x14ac:dyDescent="0.25">
      <c r="B17" s="41" t="s">
        <v>59</v>
      </c>
      <c r="C17" s="158">
        <v>1.69</v>
      </c>
      <c r="D17" s="159">
        <f>[4]Datos!K$34*FOFIR!C17%*22.5%</f>
        <v>744943.97249999992</v>
      </c>
      <c r="E17" s="139">
        <f>[4]Datos!Q82</f>
        <v>2434416.73</v>
      </c>
      <c r="F17" s="88">
        <f t="shared" si="1"/>
        <v>0.48051268362477584</v>
      </c>
      <c r="G17" s="163">
        <v>17698</v>
      </c>
      <c r="H17" s="95">
        <f t="shared" si="2"/>
        <v>8504.113474791282</v>
      </c>
      <c r="I17" s="44">
        <f t="shared" si="3"/>
        <v>4.036287495145878E-2</v>
      </c>
      <c r="J17" s="161">
        <f t="shared" si="4"/>
        <v>3005.2077637921257</v>
      </c>
      <c r="K17" s="162">
        <f t="shared" si="0"/>
        <v>747949.18026379205</v>
      </c>
    </row>
    <row r="18" spans="2:11" x14ac:dyDescent="0.25">
      <c r="B18" s="41" t="s">
        <v>60</v>
      </c>
      <c r="C18" s="158">
        <v>1.27</v>
      </c>
      <c r="D18" s="159">
        <f>[4]Datos!K$34*FOFIR!C18%*22.5%</f>
        <v>559809.96750000003</v>
      </c>
      <c r="E18" s="139">
        <f>[4]Datos!Q83</f>
        <v>633120</v>
      </c>
      <c r="F18" s="88">
        <f t="shared" si="1"/>
        <v>0.12496717858840796</v>
      </c>
      <c r="G18" s="163">
        <v>13600</v>
      </c>
      <c r="H18" s="95">
        <f t="shared" si="2"/>
        <v>1699.5536288023482</v>
      </c>
      <c r="I18" s="44">
        <f t="shared" si="3"/>
        <v>8.0665516512678954E-3</v>
      </c>
      <c r="J18" s="161">
        <f t="shared" si="4"/>
        <v>600.59308655723839</v>
      </c>
      <c r="K18" s="162">
        <f t="shared" si="0"/>
        <v>560410.56058655726</v>
      </c>
    </row>
    <row r="19" spans="2:11" x14ac:dyDescent="0.25">
      <c r="B19" s="41" t="s">
        <v>61</v>
      </c>
      <c r="C19" s="158">
        <v>3.39</v>
      </c>
      <c r="D19" s="159">
        <f>[4]Datos!K$34*FOFIR!C19%*22.5%</f>
        <v>1494295.8975</v>
      </c>
      <c r="E19" s="139">
        <f>[4]Datos!Q84</f>
        <v>1225122</v>
      </c>
      <c r="F19" s="88">
        <f t="shared" si="1"/>
        <v>0.24181835949991709</v>
      </c>
      <c r="G19" s="163">
        <v>34393</v>
      </c>
      <c r="H19" s="95">
        <f t="shared" si="2"/>
        <v>8316.8588382806483</v>
      </c>
      <c r="I19" s="44">
        <f t="shared" si="3"/>
        <v>3.9474112648372854E-2</v>
      </c>
      <c r="J19" s="161">
        <f t="shared" si="4"/>
        <v>2939.0351887064385</v>
      </c>
      <c r="K19" s="162">
        <f t="shared" si="0"/>
        <v>1497234.9326887063</v>
      </c>
    </row>
    <row r="20" spans="2:11" x14ac:dyDescent="0.25">
      <c r="B20" s="41" t="s">
        <v>62</v>
      </c>
      <c r="C20" s="158">
        <v>2.21</v>
      </c>
      <c r="D20" s="159">
        <f>[4]Datos!K$34*FOFIR!C20%*22.5%</f>
        <v>974157.50249999994</v>
      </c>
      <c r="E20" s="139">
        <f>[4]Datos!Q85</f>
        <v>2116976.2000000002</v>
      </c>
      <c r="F20" s="88">
        <f t="shared" si="1"/>
        <v>0.41785529260299664</v>
      </c>
      <c r="G20" s="163">
        <v>23469</v>
      </c>
      <c r="H20" s="95">
        <f t="shared" si="2"/>
        <v>9806.6458620997273</v>
      </c>
      <c r="I20" s="44">
        <f t="shared" si="3"/>
        <v>4.6545053966943542E-2</v>
      </c>
      <c r="J20" s="161">
        <f t="shared" si="4"/>
        <v>3465.5003568452898</v>
      </c>
      <c r="K20" s="162">
        <f t="shared" si="0"/>
        <v>977623.00285684527</v>
      </c>
    </row>
    <row r="21" spans="2:11" x14ac:dyDescent="0.25">
      <c r="B21" s="41" t="s">
        <v>63</v>
      </c>
      <c r="C21" s="158">
        <v>3.95</v>
      </c>
      <c r="D21" s="159">
        <f>[4]Datos!K$34*FOFIR!C21%*22.5%</f>
        <v>1741141.2375</v>
      </c>
      <c r="E21" s="139">
        <f>[4]Datos!Q86</f>
        <v>8815387</v>
      </c>
      <c r="F21" s="88">
        <f t="shared" si="1"/>
        <v>1.7400082789280544</v>
      </c>
      <c r="G21" s="163">
        <v>43120</v>
      </c>
      <c r="H21" s="95">
        <f t="shared" si="2"/>
        <v>75029.156987377704</v>
      </c>
      <c r="I21" s="44">
        <f t="shared" si="3"/>
        <v>0.3561091335589478</v>
      </c>
      <c r="J21" s="161">
        <f t="shared" si="4"/>
        <v>26514.016511848069</v>
      </c>
      <c r="K21" s="162">
        <f t="shared" si="0"/>
        <v>1767655.254011848</v>
      </c>
    </row>
    <row r="22" spans="2:11" x14ac:dyDescent="0.25">
      <c r="B22" s="41" t="s">
        <v>64</v>
      </c>
      <c r="C22" s="158">
        <v>0.75</v>
      </c>
      <c r="D22" s="159">
        <f>[4]Datos!K$34*FOFIR!C22%*22.5%</f>
        <v>330596.4375</v>
      </c>
      <c r="E22" s="139">
        <f>[4]Datos!Q87</f>
        <v>1401033.5699999998</v>
      </c>
      <c r="F22" s="88">
        <f t="shared" si="1"/>
        <v>0.27654032782181059</v>
      </c>
      <c r="G22" s="163">
        <v>7510</v>
      </c>
      <c r="H22" s="95">
        <f t="shared" si="2"/>
        <v>2076.8178619417977</v>
      </c>
      <c r="I22" s="44">
        <f t="shared" si="3"/>
        <v>9.8571520602351963E-3</v>
      </c>
      <c r="J22" s="161">
        <f t="shared" si="4"/>
        <v>733.91179235679647</v>
      </c>
      <c r="K22" s="162">
        <f t="shared" si="0"/>
        <v>331330.34929235681</v>
      </c>
    </row>
    <row r="23" spans="2:11" x14ac:dyDescent="0.25">
      <c r="B23" s="41" t="s">
        <v>65</v>
      </c>
      <c r="C23" s="158">
        <v>2.2799999999999998</v>
      </c>
      <c r="D23" s="159">
        <f>[4]Datos!K$34*FOFIR!C23%*22.5%</f>
        <v>1005013.1699999998</v>
      </c>
      <c r="E23" s="139">
        <f>[4]Datos!Q88</f>
        <v>1995973</v>
      </c>
      <c r="F23" s="88">
        <f t="shared" si="1"/>
        <v>0.39397130772782474</v>
      </c>
      <c r="G23" s="163">
        <v>22412</v>
      </c>
      <c r="H23" s="95">
        <f t="shared" si="2"/>
        <v>8829.684948796008</v>
      </c>
      <c r="I23" s="44">
        <f t="shared" si="3"/>
        <v>4.1908127226368885E-2</v>
      </c>
      <c r="J23" s="161">
        <f t="shared" si="4"/>
        <v>3120.2591356074886</v>
      </c>
      <c r="K23" s="162">
        <f t="shared" si="0"/>
        <v>1008133.4291356073</v>
      </c>
    </row>
    <row r="24" spans="2:11" x14ac:dyDescent="0.25">
      <c r="B24" s="41" t="s">
        <v>66</v>
      </c>
      <c r="C24" s="158">
        <v>8.8800000000000008</v>
      </c>
      <c r="D24" s="159">
        <f>[4]Datos!K$34*FOFIR!C24%*22.5%</f>
        <v>3914261.82</v>
      </c>
      <c r="E24" s="139">
        <f>[4]Datos!Q89</f>
        <v>15076147.059999999</v>
      </c>
      <c r="F24" s="88">
        <f t="shared" si="1"/>
        <v>2.9757764121685009</v>
      </c>
      <c r="G24" s="163">
        <v>93074</v>
      </c>
      <c r="H24" s="95">
        <f t="shared" si="2"/>
        <v>276967.41378617106</v>
      </c>
      <c r="I24" s="44">
        <f t="shared" si="3"/>
        <v>1.31456396030211</v>
      </c>
      <c r="J24" s="161">
        <f t="shared" si="4"/>
        <v>97875.531023303527</v>
      </c>
      <c r="K24" s="162">
        <f t="shared" si="0"/>
        <v>4012137.3510233033</v>
      </c>
    </row>
    <row r="25" spans="2:11" x14ac:dyDescent="0.25">
      <c r="B25" s="41" t="s">
        <v>67</v>
      </c>
      <c r="C25" s="158">
        <v>3.92</v>
      </c>
      <c r="D25" s="159">
        <f>[4]Datos!K$34*FOFIR!C25%*22.5%</f>
        <v>1727917.38</v>
      </c>
      <c r="E25" s="139">
        <f>[4]Datos!Q90</f>
        <v>4007454</v>
      </c>
      <c r="F25" s="88">
        <f t="shared" si="1"/>
        <v>0.79100363233325399</v>
      </c>
      <c r="G25" s="163">
        <v>39756</v>
      </c>
      <c r="H25" s="95">
        <f t="shared" si="2"/>
        <v>31447.140407040846</v>
      </c>
      <c r="I25" s="44">
        <f t="shared" si="3"/>
        <v>0.14925682725106262</v>
      </c>
      <c r="J25" s="161">
        <f t="shared" si="4"/>
        <v>11112.879758771054</v>
      </c>
      <c r="K25" s="162">
        <f t="shared" si="0"/>
        <v>1739030.2597587709</v>
      </c>
    </row>
    <row r="26" spans="2:11" x14ac:dyDescent="0.25">
      <c r="B26" s="41" t="s">
        <v>68</v>
      </c>
      <c r="C26" s="158">
        <v>35.42</v>
      </c>
      <c r="D26" s="159">
        <f>[4]Datos!K$34*FOFIR!C26%*22.5%</f>
        <v>15612967.754999999</v>
      </c>
      <c r="E26" s="139">
        <f>[4]Datos!Q91</f>
        <v>208232791.31999999</v>
      </c>
      <c r="F26" s="88">
        <f t="shared" si="1"/>
        <v>41.101630687467029</v>
      </c>
      <c r="G26" s="163">
        <v>380249</v>
      </c>
      <c r="H26" s="95">
        <f t="shared" si="2"/>
        <v>15628853.96727865</v>
      </c>
      <c r="I26" s="44">
        <f t="shared" si="3"/>
        <v>74.178864168009127</v>
      </c>
      <c r="J26" s="161">
        <f t="shared" si="4"/>
        <v>5522968.7869130783</v>
      </c>
      <c r="K26" s="162">
        <f t="shared" si="0"/>
        <v>21135936.541913077</v>
      </c>
    </row>
    <row r="27" spans="2:11" x14ac:dyDescent="0.25">
      <c r="B27" s="41" t="s">
        <v>69</v>
      </c>
      <c r="C27" s="158">
        <v>3</v>
      </c>
      <c r="D27" s="159">
        <f>[4]Datos!K$34*FOFIR!C27%*22.5%</f>
        <v>1322385.75</v>
      </c>
      <c r="E27" s="139">
        <f>[4]Datos!Q92</f>
        <v>3303489.1799999997</v>
      </c>
      <c r="F27" s="88">
        <f t="shared" si="1"/>
        <v>0.65205288463787803</v>
      </c>
      <c r="G27" s="163">
        <v>30030</v>
      </c>
      <c r="H27" s="95">
        <f t="shared" si="2"/>
        <v>19581.148125675478</v>
      </c>
      <c r="I27" s="44">
        <f t="shared" si="3"/>
        <v>9.2937545523759449E-2</v>
      </c>
      <c r="J27" s="161">
        <f t="shared" si="4"/>
        <v>6919.6417175851284</v>
      </c>
      <c r="K27" s="162">
        <f t="shared" si="0"/>
        <v>1329305.391717585</v>
      </c>
    </row>
    <row r="28" spans="2:11" x14ac:dyDescent="0.25">
      <c r="B28" s="41" t="s">
        <v>70</v>
      </c>
      <c r="C28" s="318">
        <v>4.5199999999999996</v>
      </c>
      <c r="D28" s="159">
        <f>[4]Datos!K$34*FOFIR!C28%*22.5%</f>
        <v>1992394.5299999998</v>
      </c>
      <c r="E28" s="139">
        <f>[4]Datos!Q93</f>
        <v>24561827.27</v>
      </c>
      <c r="F28" s="88">
        <f t="shared" si="1"/>
        <v>4.8480892325431491</v>
      </c>
      <c r="G28" s="163">
        <v>49102</v>
      </c>
      <c r="H28" s="95">
        <f t="shared" si="2"/>
        <v>238050.87749633371</v>
      </c>
      <c r="I28" s="44">
        <f t="shared" si="3"/>
        <v>1.1298553140138305</v>
      </c>
      <c r="J28" s="161">
        <f t="shared" si="4"/>
        <v>84123.094941071249</v>
      </c>
      <c r="K28" s="162">
        <f t="shared" si="0"/>
        <v>2076517.624941071</v>
      </c>
    </row>
    <row r="29" spans="2:11" ht="15.75" thickBot="1" x14ac:dyDescent="0.3">
      <c r="B29" s="319" t="s">
        <v>71</v>
      </c>
      <c r="C29" s="320">
        <f>SUM(C9:C28)</f>
        <v>100.00000000000001</v>
      </c>
      <c r="D29" s="321">
        <f>SUM(D9:D28)</f>
        <v>44079524.999999993</v>
      </c>
      <c r="E29" s="171">
        <f>'[4]FGP 30%'!K56</f>
        <v>506629026.23835719</v>
      </c>
      <c r="F29" s="164">
        <f>SUM(F9:F28)</f>
        <v>99.999999999999986</v>
      </c>
      <c r="G29" s="165">
        <f t="shared" ref="G29:K29" si="5">SUM(G9:G28)</f>
        <v>1084979</v>
      </c>
      <c r="H29" s="166">
        <f t="shared" si="5"/>
        <v>21069147.044204611</v>
      </c>
      <c r="I29" s="167">
        <f t="shared" si="3"/>
        <v>100</v>
      </c>
      <c r="J29" s="168">
        <f>[4]Datos!L35</f>
        <v>7445475</v>
      </c>
      <c r="K29" s="169">
        <f t="shared" si="5"/>
        <v>51525000</v>
      </c>
    </row>
    <row r="30" spans="2:11" x14ac:dyDescent="0.25">
      <c r="B30" s="22"/>
      <c r="C30" s="170"/>
      <c r="D30" s="22"/>
      <c r="E30" s="22"/>
      <c r="F30" s="22"/>
      <c r="G30" s="25"/>
      <c r="H30" s="25"/>
    </row>
    <row r="31" spans="2:11" x14ac:dyDescent="0.25">
      <c r="B31" s="22" t="s">
        <v>72</v>
      </c>
      <c r="C31" s="22"/>
      <c r="D31" s="22"/>
      <c r="E31" s="22"/>
      <c r="F31" s="22"/>
      <c r="G31" s="25"/>
      <c r="H31" s="25"/>
    </row>
  </sheetData>
  <mergeCells count="3">
    <mergeCell ref="B2:K2"/>
    <mergeCell ref="B5:B8"/>
    <mergeCell ref="E5:E6"/>
  </mergeCells>
  <pageMargins left="0.70866141732283472" right="0.70866141732283472" top="0.74803149606299213" bottom="0.74803149606299213" header="0.31496062992125984" footer="0.31496062992125984"/>
  <pageSetup scale="74" orientation="landscape" r:id="rId1"/>
  <ignoredErrors>
    <ignoredError sqref="D7:D8 C8 E8:G8" numberStoredAsText="1"/>
    <ignoredError sqref="E29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Q32"/>
  <sheetViews>
    <sheetView topLeftCell="A16" zoomScaleNormal="100" workbookViewId="0">
      <selection activeCell="G32" sqref="G32"/>
    </sheetView>
  </sheetViews>
  <sheetFormatPr baseColWidth="10" defaultRowHeight="15" x14ac:dyDescent="0.25"/>
  <cols>
    <col min="1" max="1" width="3.5703125" customWidth="1"/>
    <col min="2" max="2" width="21.7109375" customWidth="1"/>
    <col min="3" max="3" width="16.7109375" customWidth="1"/>
    <col min="4" max="4" width="16.140625" customWidth="1"/>
    <col min="5" max="5" width="15.5703125" style="23" customWidth="1"/>
    <col min="6" max="6" width="23.140625" customWidth="1"/>
    <col min="7" max="7" width="15" customWidth="1"/>
    <col min="8" max="8" width="13.28515625" customWidth="1"/>
    <col min="9" max="9" width="18.7109375" customWidth="1"/>
    <col min="10" max="10" width="15.28515625" hidden="1" customWidth="1"/>
    <col min="11" max="14" width="18.140625" customWidth="1"/>
    <col min="15" max="15" width="15.28515625" customWidth="1"/>
    <col min="16" max="17" width="0" hidden="1" customWidth="1"/>
  </cols>
  <sheetData>
    <row r="3" spans="2:17" s="173" customFormat="1" x14ac:dyDescent="0.25">
      <c r="B3" s="172"/>
      <c r="C3" s="172"/>
      <c r="D3" s="172"/>
      <c r="J3" s="24"/>
      <c r="K3" s="24"/>
      <c r="L3" s="24"/>
      <c r="M3" s="24"/>
      <c r="N3" s="24"/>
      <c r="O3" s="24"/>
    </row>
    <row r="4" spans="2:17" ht="15" customHeight="1" thickBot="1" x14ac:dyDescent="0.3">
      <c r="B4" s="395" t="s">
        <v>217</v>
      </c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  <c r="O4" s="174"/>
    </row>
    <row r="5" spans="2:17" ht="15" customHeight="1" x14ac:dyDescent="0.25">
      <c r="B5" s="396" t="s">
        <v>38</v>
      </c>
      <c r="C5" s="175"/>
      <c r="D5" s="176"/>
      <c r="E5" s="399" t="s">
        <v>122</v>
      </c>
      <c r="F5" s="400"/>
      <c r="G5" s="399" t="s">
        <v>123</v>
      </c>
      <c r="H5" s="401"/>
      <c r="I5" s="400"/>
      <c r="J5" s="144" t="s">
        <v>124</v>
      </c>
      <c r="K5" s="177"/>
      <c r="L5" s="144"/>
      <c r="M5" s="178" t="s">
        <v>125</v>
      </c>
      <c r="N5" s="178" t="s">
        <v>126</v>
      </c>
      <c r="O5" s="24"/>
    </row>
    <row r="6" spans="2:17" x14ac:dyDescent="0.25">
      <c r="B6" s="397"/>
      <c r="C6" s="179" t="s">
        <v>39</v>
      </c>
      <c r="D6" s="147" t="s">
        <v>95</v>
      </c>
      <c r="E6" s="179" t="s">
        <v>127</v>
      </c>
      <c r="F6" s="180" t="s">
        <v>124</v>
      </c>
      <c r="G6" s="179" t="s">
        <v>128</v>
      </c>
      <c r="H6" s="24" t="s">
        <v>129</v>
      </c>
      <c r="I6" s="180" t="s">
        <v>130</v>
      </c>
      <c r="J6" s="24" t="s">
        <v>131</v>
      </c>
      <c r="K6" s="179" t="s">
        <v>132</v>
      </c>
      <c r="L6" s="24" t="s">
        <v>133</v>
      </c>
      <c r="M6" s="180" t="s">
        <v>134</v>
      </c>
      <c r="N6" s="180" t="s">
        <v>135</v>
      </c>
      <c r="O6" s="24"/>
    </row>
    <row r="7" spans="2:17" x14ac:dyDescent="0.25">
      <c r="B7" s="397"/>
      <c r="C7" s="179" t="s">
        <v>44</v>
      </c>
      <c r="D7" s="147" t="s">
        <v>45</v>
      </c>
      <c r="E7" s="179" t="s">
        <v>78</v>
      </c>
      <c r="F7" s="180" t="s">
        <v>136</v>
      </c>
      <c r="G7" s="179" t="s">
        <v>137</v>
      </c>
      <c r="H7" s="24" t="s">
        <v>133</v>
      </c>
      <c r="I7" s="180" t="s">
        <v>138</v>
      </c>
      <c r="J7" s="24" t="s">
        <v>139</v>
      </c>
      <c r="K7" s="181" t="s">
        <v>140</v>
      </c>
      <c r="L7" s="182" t="s">
        <v>140</v>
      </c>
      <c r="M7" s="183" t="s">
        <v>141</v>
      </c>
      <c r="N7" s="183" t="s">
        <v>142</v>
      </c>
      <c r="O7" s="24"/>
    </row>
    <row r="8" spans="2:17" x14ac:dyDescent="0.25">
      <c r="B8" s="397"/>
      <c r="C8" s="181">
        <v>2014</v>
      </c>
      <c r="D8" s="184" t="s">
        <v>47</v>
      </c>
      <c r="E8" s="179" t="s">
        <v>143</v>
      </c>
      <c r="F8" s="180" t="s">
        <v>144</v>
      </c>
      <c r="G8" s="185"/>
      <c r="H8" s="186"/>
      <c r="I8" s="180" t="s">
        <v>145</v>
      </c>
      <c r="J8" s="187"/>
      <c r="K8" s="181" t="s">
        <v>146</v>
      </c>
      <c r="L8" s="182" t="s">
        <v>147</v>
      </c>
      <c r="M8" s="183" t="s">
        <v>148</v>
      </c>
      <c r="N8" s="183" t="s">
        <v>149</v>
      </c>
      <c r="O8" s="187"/>
      <c r="P8" s="188"/>
    </row>
    <row r="9" spans="2:17" ht="15.75" thickBot="1" x14ac:dyDescent="0.3">
      <c r="B9" s="398"/>
      <c r="C9" s="189" t="s">
        <v>49</v>
      </c>
      <c r="D9" s="190" t="s">
        <v>50</v>
      </c>
      <c r="E9" s="189" t="s">
        <v>101</v>
      </c>
      <c r="F9" s="191" t="s">
        <v>150</v>
      </c>
      <c r="G9" s="189" t="s">
        <v>151</v>
      </c>
      <c r="H9" s="192" t="s">
        <v>152</v>
      </c>
      <c r="I9" s="191" t="s">
        <v>153</v>
      </c>
      <c r="J9" s="192" t="s">
        <v>154</v>
      </c>
      <c r="K9" s="189" t="s">
        <v>155</v>
      </c>
      <c r="L9" s="192" t="s">
        <v>155</v>
      </c>
      <c r="M9" s="191"/>
      <c r="N9" s="191"/>
      <c r="O9" s="182"/>
    </row>
    <row r="10" spans="2:17" x14ac:dyDescent="0.25">
      <c r="B10" s="193" t="s">
        <v>51</v>
      </c>
      <c r="C10" s="194">
        <v>3.81</v>
      </c>
      <c r="D10" s="159">
        <f>[4]FOCO!D9</f>
        <v>2891598.5475000003</v>
      </c>
      <c r="E10" s="195">
        <v>3.3707564846877225</v>
      </c>
      <c r="F10" s="196">
        <f>E10*0.7</f>
        <v>2.3595295392814055</v>
      </c>
      <c r="G10" s="197">
        <f>MINVERSE(E10)</f>
        <v>0.29666930985453349</v>
      </c>
      <c r="H10" s="197">
        <f>G10/G$30%</f>
        <v>3.205314090512692</v>
      </c>
      <c r="I10" s="198">
        <f>H10*0.3</f>
        <v>0.9615942271538076</v>
      </c>
      <c r="J10" s="199">
        <f>F10+I10</f>
        <v>3.3211237664352131</v>
      </c>
      <c r="K10" s="200">
        <f>[4]Datos!$L$40*FOCO!F10/100</f>
        <v>189470.81188668168</v>
      </c>
      <c r="L10" s="201">
        <f>[4]Datos!$K$40*22.5%*FOCO!I10/100</f>
        <v>77216.256839007547</v>
      </c>
      <c r="M10" s="202">
        <f>K10+L10</f>
        <v>266687.0687256892</v>
      </c>
      <c r="N10" s="203">
        <f>M10+D10</f>
        <v>3158285.6162256896</v>
      </c>
      <c r="O10" s="199"/>
      <c r="P10">
        <f t="shared" ref="P10:P26" si="0">MINVERSE(E10)</f>
        <v>0.29666930985453349</v>
      </c>
      <c r="Q10">
        <f>P10/P$30%</f>
        <v>3.205314090512692</v>
      </c>
    </row>
    <row r="11" spans="2:17" x14ac:dyDescent="0.25">
      <c r="B11" s="193" t="s">
        <v>52</v>
      </c>
      <c r="C11" s="204">
        <v>1.63</v>
      </c>
      <c r="D11" s="159">
        <f>[4]FOCO!D10</f>
        <v>1237088.0925</v>
      </c>
      <c r="E11" s="205">
        <v>1.4036216369164749</v>
      </c>
      <c r="F11" s="206">
        <f t="shared" ref="F11:F29" si="1">E11*0.7</f>
        <v>0.98253514584153234</v>
      </c>
      <c r="G11" s="197">
        <f t="shared" ref="G11:G29" si="2">MINVERSE(E11)</f>
        <v>0.71244270799133236</v>
      </c>
      <c r="H11" s="197">
        <f t="shared" ref="H11:H30" si="3">G11/G$30%</f>
        <v>7.6974684429857634</v>
      </c>
      <c r="I11" s="198">
        <f t="shared" ref="I11:I29" si="4">H11*0.3</f>
        <v>2.3092405328957288</v>
      </c>
      <c r="J11" s="199">
        <f t="shared" ref="J11:J30" si="5">F11+I11</f>
        <v>3.2917756787372614</v>
      </c>
      <c r="K11" s="200">
        <f>[4]Datos!$L$40*FOCO!F11/100</f>
        <v>78897.817844861507</v>
      </c>
      <c r="L11" s="201">
        <f>[4]Datos!$K$40*22.5%*FOCO!I11/100</f>
        <v>185432.59210166027</v>
      </c>
      <c r="M11" s="202">
        <f t="shared" ref="M11:M30" si="6">K11+L11</f>
        <v>264330.40994652174</v>
      </c>
      <c r="N11" s="202">
        <f t="shared" ref="N11:N30" si="7">M11+D11</f>
        <v>1501418.5024465218</v>
      </c>
      <c r="O11" s="199"/>
      <c r="P11">
        <f t="shared" si="0"/>
        <v>0.71244270799133236</v>
      </c>
      <c r="Q11">
        <f t="shared" ref="Q11:Q29" si="8">P11/P$30%</f>
        <v>7.6974684429857634</v>
      </c>
    </row>
    <row r="12" spans="2:17" x14ac:dyDescent="0.25">
      <c r="B12" s="193" t="s">
        <v>53</v>
      </c>
      <c r="C12" s="204">
        <v>1.32</v>
      </c>
      <c r="D12" s="159">
        <f>[4]FOCO!D11</f>
        <v>1001813.67</v>
      </c>
      <c r="E12" s="205">
        <v>1.0311720319010782</v>
      </c>
      <c r="F12" s="206">
        <f t="shared" si="1"/>
        <v>0.72182042233075472</v>
      </c>
      <c r="G12" s="197">
        <f t="shared" si="2"/>
        <v>0.96977028959599576</v>
      </c>
      <c r="H12" s="197">
        <f t="shared" si="3"/>
        <v>10.477721390617644</v>
      </c>
      <c r="I12" s="198">
        <f t="shared" si="4"/>
        <v>3.143316417185293</v>
      </c>
      <c r="J12" s="199">
        <f t="shared" si="5"/>
        <v>3.8651368395160475</v>
      </c>
      <c r="K12" s="200">
        <f>[4]Datos!$L$40*FOCO!F12/100</f>
        <v>57962.360368265181</v>
      </c>
      <c r="L12" s="201">
        <f>[4]Datos!$K$40*22.5%*FOCO!I12/100</f>
        <v>252409.0941290833</v>
      </c>
      <c r="M12" s="202">
        <f t="shared" si="6"/>
        <v>310371.45449734846</v>
      </c>
      <c r="N12" s="202">
        <f t="shared" si="7"/>
        <v>1312185.1244973484</v>
      </c>
      <c r="O12" s="199"/>
      <c r="P12">
        <f t="shared" si="0"/>
        <v>0.96977028959599576</v>
      </c>
      <c r="Q12">
        <f t="shared" si="8"/>
        <v>10.477721390617644</v>
      </c>
    </row>
    <row r="13" spans="2:17" x14ac:dyDescent="0.25">
      <c r="B13" s="193" t="s">
        <v>54</v>
      </c>
      <c r="C13" s="204">
        <v>7.64</v>
      </c>
      <c r="D13" s="159">
        <f>[4]FOCO!D12</f>
        <v>5798376.0899999999</v>
      </c>
      <c r="E13" s="205">
        <v>11.447687005923617</v>
      </c>
      <c r="F13" s="206">
        <f t="shared" si="1"/>
        <v>8.0133809041465316</v>
      </c>
      <c r="G13" s="197">
        <f t="shared" si="2"/>
        <v>8.7353890745139079E-2</v>
      </c>
      <c r="H13" s="197">
        <f t="shared" si="3"/>
        <v>0.94380054682363979</v>
      </c>
      <c r="I13" s="198">
        <f t="shared" si="4"/>
        <v>0.28314016404709191</v>
      </c>
      <c r="J13" s="199">
        <f t="shared" si="5"/>
        <v>8.2965210681936234</v>
      </c>
      <c r="K13" s="200">
        <f>[4]Datos!$L$40*FOCO!F13/100</f>
        <v>643476.48994819249</v>
      </c>
      <c r="L13" s="201">
        <f>[4]Datos!$K$40*22.5%*FOCO!I13/100</f>
        <v>22736.225958022493</v>
      </c>
      <c r="M13" s="202">
        <f t="shared" si="6"/>
        <v>666212.71590621502</v>
      </c>
      <c r="N13" s="202">
        <f t="shared" si="7"/>
        <v>6464588.8059062148</v>
      </c>
      <c r="O13" s="199"/>
      <c r="P13">
        <f t="shared" si="0"/>
        <v>8.7353890745139079E-2</v>
      </c>
      <c r="Q13">
        <f t="shared" si="8"/>
        <v>0.94380054682363979</v>
      </c>
    </row>
    <row r="14" spans="2:17" x14ac:dyDescent="0.25">
      <c r="B14" s="193" t="s">
        <v>55</v>
      </c>
      <c r="C14" s="204">
        <v>6.2</v>
      </c>
      <c r="D14" s="159">
        <f>[4]FOCO!D13</f>
        <v>4705488.45</v>
      </c>
      <c r="E14" s="205">
        <v>6.4885126808905982</v>
      </c>
      <c r="F14" s="206">
        <f t="shared" si="1"/>
        <v>4.5419588766234185</v>
      </c>
      <c r="G14" s="197">
        <f t="shared" si="2"/>
        <v>0.1541185244108581</v>
      </c>
      <c r="H14" s="197">
        <f t="shared" si="3"/>
        <v>1.6651478986666031</v>
      </c>
      <c r="I14" s="198">
        <f t="shared" si="4"/>
        <v>0.49954436959998089</v>
      </c>
      <c r="J14" s="199">
        <f t="shared" si="5"/>
        <v>5.0415032462233995</v>
      </c>
      <c r="K14" s="200">
        <f>[4]Datos!$L$40*FOCO!F14/100</f>
        <v>364720.43328257964</v>
      </c>
      <c r="L14" s="201">
        <f>[4]Datos!$K$40*22.5%*FOCO!I14/100</f>
        <v>40113.537764970868</v>
      </c>
      <c r="M14" s="202">
        <f t="shared" si="6"/>
        <v>404833.9710475505</v>
      </c>
      <c r="N14" s="202">
        <f t="shared" si="7"/>
        <v>5110322.4210475506</v>
      </c>
      <c r="O14" s="199"/>
      <c r="P14">
        <f t="shared" si="0"/>
        <v>0.1541185244108581</v>
      </c>
      <c r="Q14">
        <f t="shared" si="8"/>
        <v>1.6651478986666031</v>
      </c>
    </row>
    <row r="15" spans="2:17" x14ac:dyDescent="0.25">
      <c r="B15" s="193" t="s">
        <v>56</v>
      </c>
      <c r="C15" s="204">
        <v>7.23</v>
      </c>
      <c r="D15" s="159">
        <f>[4]FOCO!D14</f>
        <v>5487206.6924999999</v>
      </c>
      <c r="E15" s="205">
        <v>3.1613515100292262</v>
      </c>
      <c r="F15" s="206">
        <f t="shared" si="1"/>
        <v>2.2129460570204582</v>
      </c>
      <c r="G15" s="197">
        <f t="shared" si="2"/>
        <v>0.31632040816326534</v>
      </c>
      <c r="H15" s="197">
        <f t="shared" si="3"/>
        <v>3.4176311054877608</v>
      </c>
      <c r="I15" s="198">
        <f t="shared" si="4"/>
        <v>1.0252893316463283</v>
      </c>
      <c r="J15" s="199">
        <f t="shared" si="5"/>
        <v>3.2382353886667863</v>
      </c>
      <c r="K15" s="200">
        <f>[4]Datos!$L$40*FOCO!F15/100</f>
        <v>177700.12161525703</v>
      </c>
      <c r="L15" s="201">
        <f>[4]Datos!$K$40*22.5%*FOCO!I15/100</f>
        <v>82330.989653533077</v>
      </c>
      <c r="M15" s="202">
        <f t="shared" si="6"/>
        <v>260031.11126879009</v>
      </c>
      <c r="N15" s="202">
        <f t="shared" si="7"/>
        <v>5747237.8037687903</v>
      </c>
      <c r="O15" s="199"/>
      <c r="P15">
        <f t="shared" si="0"/>
        <v>0.31632040816326534</v>
      </c>
      <c r="Q15">
        <f t="shared" si="8"/>
        <v>3.4176311054877608</v>
      </c>
    </row>
    <row r="16" spans="2:17" x14ac:dyDescent="0.25">
      <c r="B16" s="193" t="s">
        <v>57</v>
      </c>
      <c r="C16" s="204">
        <v>2</v>
      </c>
      <c r="D16" s="159">
        <f>[4]FOCO!D15</f>
        <v>1517899.5</v>
      </c>
      <c r="E16" s="205">
        <v>1.050711580592804</v>
      </c>
      <c r="F16" s="206">
        <f t="shared" si="1"/>
        <v>0.73549810641496272</v>
      </c>
      <c r="G16" s="197">
        <f t="shared" si="2"/>
        <v>0.95173596491228074</v>
      </c>
      <c r="H16" s="197">
        <f t="shared" si="3"/>
        <v>10.28287253668686</v>
      </c>
      <c r="I16" s="198">
        <f t="shared" si="4"/>
        <v>3.0848617610060578</v>
      </c>
      <c r="J16" s="199">
        <f t="shared" si="5"/>
        <v>3.8203598674210206</v>
      </c>
      <c r="K16" s="200">
        <f>[4]Datos!$L$40*FOCO!F16/100</f>
        <v>59060.681819648111</v>
      </c>
      <c r="L16" s="201">
        <f>[4]Datos!$K$40*22.5%*FOCO!I16/100</f>
        <v>247715.17062422671</v>
      </c>
      <c r="M16" s="202">
        <f t="shared" si="6"/>
        <v>306775.85244387481</v>
      </c>
      <c r="N16" s="202">
        <f t="shared" si="7"/>
        <v>1824675.3524438748</v>
      </c>
      <c r="O16" s="199"/>
      <c r="P16">
        <f t="shared" si="0"/>
        <v>0.95173596491228074</v>
      </c>
      <c r="Q16">
        <f t="shared" si="8"/>
        <v>10.28287253668686</v>
      </c>
    </row>
    <row r="17" spans="2:17" x14ac:dyDescent="0.25">
      <c r="B17" s="193" t="s">
        <v>58</v>
      </c>
      <c r="C17" s="204">
        <v>2.67</v>
      </c>
      <c r="D17" s="159">
        <f>[4]FOCO!D16</f>
        <v>2026395.8324999998</v>
      </c>
      <c r="E17" s="205">
        <v>2.5136892050445216</v>
      </c>
      <c r="F17" s="206">
        <f t="shared" si="1"/>
        <v>1.7595824435311651</v>
      </c>
      <c r="G17" s="197">
        <f t="shared" si="2"/>
        <v>0.39782165511678214</v>
      </c>
      <c r="H17" s="197">
        <f t="shared" si="3"/>
        <v>4.2981977383577226</v>
      </c>
      <c r="I17" s="198">
        <f t="shared" si="4"/>
        <v>1.2894593215073167</v>
      </c>
      <c r="J17" s="199">
        <f t="shared" si="5"/>
        <v>3.0490417650384818</v>
      </c>
      <c r="K17" s="200">
        <f>[4]Datos!$L$40*FOCO!F17/100</f>
        <v>141294.91011116345</v>
      </c>
      <c r="L17" s="201">
        <f>[4]Datos!$K$40*22.5%*FOCO!I17/100</f>
        <v>103543.90588186792</v>
      </c>
      <c r="M17" s="202">
        <f t="shared" si="6"/>
        <v>244838.81599303137</v>
      </c>
      <c r="N17" s="202">
        <f t="shared" si="7"/>
        <v>2271234.648493031</v>
      </c>
      <c r="O17" s="199"/>
      <c r="P17">
        <f t="shared" si="0"/>
        <v>0.39782165511678214</v>
      </c>
      <c r="Q17">
        <f t="shared" si="8"/>
        <v>4.2981977383577226</v>
      </c>
    </row>
    <row r="18" spans="2:17" x14ac:dyDescent="0.25">
      <c r="B18" s="193" t="s">
        <v>59</v>
      </c>
      <c r="C18" s="204">
        <v>2.2999999999999998</v>
      </c>
      <c r="D18" s="159">
        <f>[4]FOCO!D17</f>
        <v>1745584.425</v>
      </c>
      <c r="E18" s="205">
        <v>1.6311836450290742</v>
      </c>
      <c r="F18" s="206">
        <f t="shared" si="1"/>
        <v>1.1418285515203519</v>
      </c>
      <c r="G18" s="197">
        <f t="shared" si="2"/>
        <v>0.61305175726070749</v>
      </c>
      <c r="H18" s="197">
        <f t="shared" si="3"/>
        <v>6.6236154886557914</v>
      </c>
      <c r="I18" s="198">
        <f t="shared" si="4"/>
        <v>1.9870846465967373</v>
      </c>
      <c r="J18" s="199">
        <f t="shared" si="5"/>
        <v>3.1289131981170892</v>
      </c>
      <c r="K18" s="200">
        <f>[4]Datos!$L$40*FOCO!F18/100</f>
        <v>91689.118144222142</v>
      </c>
      <c r="L18" s="201">
        <f>[4]Datos!$K$40*22.5%*FOCO!I18/100</f>
        <v>159563.39389287966</v>
      </c>
      <c r="M18" s="202">
        <f t="shared" si="6"/>
        <v>251252.51203710178</v>
      </c>
      <c r="N18" s="202">
        <f t="shared" si="7"/>
        <v>1996836.9370371019</v>
      </c>
      <c r="O18" s="199"/>
      <c r="P18">
        <f t="shared" si="0"/>
        <v>0.61305175726070749</v>
      </c>
      <c r="Q18">
        <f t="shared" si="8"/>
        <v>6.6236154886557914</v>
      </c>
    </row>
    <row r="19" spans="2:17" x14ac:dyDescent="0.25">
      <c r="B19" s="193" t="s">
        <v>60</v>
      </c>
      <c r="C19" s="204">
        <v>2.31</v>
      </c>
      <c r="D19" s="159">
        <f>[4]FOCO!D18</f>
        <v>1753173.9224999999</v>
      </c>
      <c r="E19" s="205">
        <v>1.2534804821107137</v>
      </c>
      <c r="F19" s="206">
        <f t="shared" si="1"/>
        <v>0.8774363374774995</v>
      </c>
      <c r="G19" s="197">
        <f t="shared" si="2"/>
        <v>0.7977786764705882</v>
      </c>
      <c r="H19" s="197">
        <f t="shared" si="3"/>
        <v>8.6194666851639834</v>
      </c>
      <c r="I19" s="198">
        <f t="shared" si="4"/>
        <v>2.585840005549195</v>
      </c>
      <c r="J19" s="199">
        <f t="shared" si="5"/>
        <v>3.4632763430266946</v>
      </c>
      <c r="K19" s="200">
        <f>[4]Datos!$L$40*FOCO!F19/100</f>
        <v>70458.357258527583</v>
      </c>
      <c r="L19" s="201">
        <f>[4]Datos!$K$40*22.5%*FOCO!I19/100</f>
        <v>207643.59890560177</v>
      </c>
      <c r="M19" s="202">
        <f t="shared" si="6"/>
        <v>278101.95616412937</v>
      </c>
      <c r="N19" s="202">
        <f t="shared" si="7"/>
        <v>2031275.8786641292</v>
      </c>
      <c r="O19" s="199"/>
      <c r="P19">
        <f t="shared" si="0"/>
        <v>0.7977786764705882</v>
      </c>
      <c r="Q19">
        <f t="shared" si="8"/>
        <v>8.6194666851639834</v>
      </c>
    </row>
    <row r="20" spans="2:17" x14ac:dyDescent="0.25">
      <c r="B20" s="193" t="s">
        <v>61</v>
      </c>
      <c r="C20" s="204">
        <v>5.05</v>
      </c>
      <c r="D20" s="159">
        <f>[4]FOCO!D19</f>
        <v>3832696.2375000003</v>
      </c>
      <c r="E20" s="205">
        <v>3.1699231045024834</v>
      </c>
      <c r="F20" s="206">
        <f t="shared" si="1"/>
        <v>2.2189461731517381</v>
      </c>
      <c r="G20" s="197">
        <f t="shared" si="2"/>
        <v>0.31546506556566745</v>
      </c>
      <c r="H20" s="197">
        <f t="shared" si="3"/>
        <v>3.408389699015212</v>
      </c>
      <c r="I20" s="198">
        <f t="shared" si="4"/>
        <v>1.0225169097045637</v>
      </c>
      <c r="J20" s="199">
        <f t="shared" si="5"/>
        <v>3.2414630828563018</v>
      </c>
      <c r="K20" s="200">
        <f>[4]Datos!$L$40*FOCO!F20/100</f>
        <v>178181.93244062786</v>
      </c>
      <c r="L20" s="201">
        <f>[4]Datos!$K$40*22.5%*FOCO!I20/100</f>
        <v>82108.363478503888</v>
      </c>
      <c r="M20" s="202">
        <f t="shared" si="6"/>
        <v>260290.29591913175</v>
      </c>
      <c r="N20" s="202">
        <f t="shared" si="7"/>
        <v>4092986.5334191322</v>
      </c>
      <c r="O20" s="199"/>
      <c r="P20">
        <f t="shared" si="0"/>
        <v>0.31546506556566745</v>
      </c>
      <c r="Q20">
        <f t="shared" si="8"/>
        <v>3.408389699015212</v>
      </c>
    </row>
    <row r="21" spans="2:17" x14ac:dyDescent="0.25">
      <c r="B21" s="193" t="s">
        <v>62</v>
      </c>
      <c r="C21" s="204">
        <v>2.58</v>
      </c>
      <c r="D21" s="159">
        <f>[4]FOCO!D20</f>
        <v>1958090.3550000002</v>
      </c>
      <c r="E21" s="205">
        <v>2.1630833407835541</v>
      </c>
      <c r="F21" s="206">
        <f t="shared" si="1"/>
        <v>1.5141583385484878</v>
      </c>
      <c r="G21" s="197">
        <f t="shared" si="2"/>
        <v>0.4623030380501939</v>
      </c>
      <c r="H21" s="197">
        <f t="shared" si="3"/>
        <v>4.9948760883817034</v>
      </c>
      <c r="I21" s="198">
        <f t="shared" si="4"/>
        <v>1.498462826514511</v>
      </c>
      <c r="J21" s="199">
        <f t="shared" si="5"/>
        <v>3.012621165062999</v>
      </c>
      <c r="K21" s="200">
        <f>[4]Datos!$L$40*FOCO!F21/100</f>
        <v>121587.2931250282</v>
      </c>
      <c r="L21" s="201">
        <f>[4]Datos!$K$40*22.5%*FOCO!I21/100</f>
        <v>120326.93958482187</v>
      </c>
      <c r="M21" s="202">
        <f t="shared" si="6"/>
        <v>241914.23270985007</v>
      </c>
      <c r="N21" s="202">
        <f t="shared" si="7"/>
        <v>2200004.5877098502</v>
      </c>
      <c r="O21" s="199"/>
      <c r="P21">
        <f t="shared" si="0"/>
        <v>0.4623030380501939</v>
      </c>
      <c r="Q21">
        <f t="shared" si="8"/>
        <v>4.9948760883817034</v>
      </c>
    </row>
    <row r="22" spans="2:17" x14ac:dyDescent="0.25">
      <c r="B22" s="193" t="s">
        <v>63</v>
      </c>
      <c r="C22" s="204">
        <v>3.39</v>
      </c>
      <c r="D22" s="159">
        <f>[4]FOCO!D21</f>
        <v>2572839.6525000003</v>
      </c>
      <c r="E22" s="205">
        <v>3.9742704697510276</v>
      </c>
      <c r="F22" s="206">
        <f t="shared" si="1"/>
        <v>2.7819893288257194</v>
      </c>
      <c r="G22" s="197">
        <f t="shared" si="2"/>
        <v>0.25161850649350648</v>
      </c>
      <c r="H22" s="197">
        <f t="shared" si="3"/>
        <v>2.718570197547082</v>
      </c>
      <c r="I22" s="198">
        <f t="shared" si="4"/>
        <v>0.81557105926412454</v>
      </c>
      <c r="J22" s="199">
        <f t="shared" si="5"/>
        <v>3.5975603880898439</v>
      </c>
      <c r="K22" s="200">
        <f>[4]Datos!$L$40*FOCO!F22/100</f>
        <v>223394.43860203747</v>
      </c>
      <c r="L22" s="201">
        <f>[4]Datos!$K$40*22.5%*FOCO!I22/100</f>
        <v>65490.559951674019</v>
      </c>
      <c r="M22" s="202">
        <f t="shared" si="6"/>
        <v>288884.99855371146</v>
      </c>
      <c r="N22" s="202">
        <f t="shared" si="7"/>
        <v>2861724.6510537118</v>
      </c>
      <c r="O22" s="199"/>
      <c r="P22">
        <f t="shared" si="0"/>
        <v>0.25161850649350648</v>
      </c>
      <c r="Q22">
        <f t="shared" si="8"/>
        <v>2.718570197547082</v>
      </c>
    </row>
    <row r="23" spans="2:17" x14ac:dyDescent="0.25">
      <c r="B23" s="193" t="s">
        <v>64</v>
      </c>
      <c r="C23" s="204">
        <v>0.82</v>
      </c>
      <c r="D23" s="159">
        <f>[4]FOCO!D22</f>
        <v>622338.79499999993</v>
      </c>
      <c r="E23" s="205">
        <v>0.69217929563613667</v>
      </c>
      <c r="F23" s="206">
        <f t="shared" si="1"/>
        <v>0.48452550694529561</v>
      </c>
      <c r="G23" s="197">
        <f t="shared" si="2"/>
        <v>1.4447123834886819</v>
      </c>
      <c r="H23" s="197">
        <f t="shared" si="3"/>
        <v>15.609154050363543</v>
      </c>
      <c r="I23" s="198">
        <f t="shared" si="4"/>
        <v>4.6827462151090629</v>
      </c>
      <c r="J23" s="199">
        <f t="shared" si="5"/>
        <v>5.1672717220543589</v>
      </c>
      <c r="K23" s="200">
        <f>[4]Datos!$L$40*FOCO!F23/100</f>
        <v>38907.51933908397</v>
      </c>
      <c r="L23" s="201">
        <f>[4]Datos!$K$40*22.5%*FOCO!I23/100</f>
        <v>376025.69175981148</v>
      </c>
      <c r="M23" s="202">
        <f t="shared" si="6"/>
        <v>414933.21109889547</v>
      </c>
      <c r="N23" s="202">
        <f t="shared" si="7"/>
        <v>1037272.0060988953</v>
      </c>
      <c r="O23" s="199"/>
      <c r="P23">
        <f t="shared" si="0"/>
        <v>1.4447123834886819</v>
      </c>
      <c r="Q23">
        <f t="shared" si="8"/>
        <v>15.609154050363543</v>
      </c>
    </row>
    <row r="24" spans="2:17" x14ac:dyDescent="0.25">
      <c r="B24" s="193" t="s">
        <v>65</v>
      </c>
      <c r="C24" s="204">
        <v>2.27</v>
      </c>
      <c r="D24" s="159">
        <f>[4]FOCO!D23</f>
        <v>1722815.9325000001</v>
      </c>
      <c r="E24" s="205">
        <v>2.0656621003724496</v>
      </c>
      <c r="F24" s="206">
        <f t="shared" si="1"/>
        <v>1.4459634702607147</v>
      </c>
      <c r="G24" s="197">
        <f t="shared" si="2"/>
        <v>0.48410628234874176</v>
      </c>
      <c r="H24" s="197">
        <f t="shared" si="3"/>
        <v>5.2304456058464304</v>
      </c>
      <c r="I24" s="198">
        <f t="shared" si="4"/>
        <v>1.569133681753929</v>
      </c>
      <c r="J24" s="199">
        <f t="shared" si="5"/>
        <v>3.0150971520146435</v>
      </c>
      <c r="K24" s="200">
        <f>[4]Datos!$L$40*FOCO!F24/100</f>
        <v>116111.22815280296</v>
      </c>
      <c r="L24" s="201">
        <f>[4]Datos!$K$40*22.5%*FOCO!I24/100</f>
        <v>126001.82692826094</v>
      </c>
      <c r="M24" s="202">
        <f t="shared" si="6"/>
        <v>242113.05508106388</v>
      </c>
      <c r="N24" s="202">
        <f t="shared" si="7"/>
        <v>1964928.987581064</v>
      </c>
      <c r="O24" s="199"/>
      <c r="P24">
        <f t="shared" si="0"/>
        <v>0.48410628234874176</v>
      </c>
      <c r="Q24">
        <f t="shared" si="8"/>
        <v>5.2304456058464304</v>
      </c>
    </row>
    <row r="25" spans="2:17" x14ac:dyDescent="0.25">
      <c r="B25" s="193" t="s">
        <v>66</v>
      </c>
      <c r="C25" s="204">
        <v>8.59</v>
      </c>
      <c r="D25" s="159">
        <f>[4]FOCO!D24</f>
        <v>6519378.352500001</v>
      </c>
      <c r="E25" s="205">
        <v>8.5784148817626882</v>
      </c>
      <c r="F25" s="206">
        <f t="shared" si="1"/>
        <v>6.0048904172338817</v>
      </c>
      <c r="G25" s="197">
        <f t="shared" si="2"/>
        <v>0.11657165266347208</v>
      </c>
      <c r="H25" s="197">
        <f t="shared" si="3"/>
        <v>1.2594789835854288</v>
      </c>
      <c r="I25" s="198">
        <f t="shared" si="4"/>
        <v>0.37784369507562859</v>
      </c>
      <c r="J25" s="199">
        <f t="shared" si="5"/>
        <v>6.3827341123095103</v>
      </c>
      <c r="K25" s="200">
        <f>[4]Datos!$L$40*FOCO!F25/100</f>
        <v>482194.20172648504</v>
      </c>
      <c r="L25" s="201">
        <f>[4]Datos!$K$40*22.5%*FOCO!I25/100</f>
        <v>30340.943175496745</v>
      </c>
      <c r="M25" s="202">
        <f t="shared" si="6"/>
        <v>512535.14490198181</v>
      </c>
      <c r="N25" s="202">
        <f t="shared" si="7"/>
        <v>7031913.4974019825</v>
      </c>
      <c r="O25" s="199"/>
      <c r="P25">
        <f t="shared" si="0"/>
        <v>0.11657165266347208</v>
      </c>
      <c r="Q25">
        <f t="shared" si="8"/>
        <v>1.2594789835854288</v>
      </c>
    </row>
    <row r="26" spans="2:17" x14ac:dyDescent="0.25">
      <c r="B26" s="193" t="s">
        <v>67</v>
      </c>
      <c r="C26" s="204">
        <v>4.55</v>
      </c>
      <c r="D26" s="159">
        <f>[4]FOCO!D25</f>
        <v>3453221.3625000003</v>
      </c>
      <c r="E26" s="205">
        <v>3.6642183857936419</v>
      </c>
      <c r="F26" s="206">
        <f t="shared" si="1"/>
        <v>2.5649528700555493</v>
      </c>
      <c r="G26" s="197">
        <f t="shared" si="2"/>
        <v>0.27290949793741826</v>
      </c>
      <c r="H26" s="197">
        <f t="shared" si="3"/>
        <v>2.9486051644589542</v>
      </c>
      <c r="I26" s="198">
        <f t="shared" si="4"/>
        <v>0.88458154933768618</v>
      </c>
      <c r="J26" s="199">
        <f t="shared" si="5"/>
        <v>3.4495344193932356</v>
      </c>
      <c r="K26" s="200">
        <f>[4]Datos!$L$40*FOCO!F26/100</f>
        <v>205966.35670367812</v>
      </c>
      <c r="L26" s="201">
        <f>[4]Datos!$K$40*22.5%*FOCO!I26/100</f>
        <v>71032.119557203536</v>
      </c>
      <c r="M26" s="202">
        <f t="shared" si="6"/>
        <v>276998.47626088164</v>
      </c>
      <c r="N26" s="202">
        <f t="shared" si="7"/>
        <v>3730219.8387608817</v>
      </c>
      <c r="O26" s="199"/>
      <c r="P26">
        <f t="shared" si="0"/>
        <v>0.27290949793741826</v>
      </c>
      <c r="Q26">
        <f t="shared" si="8"/>
        <v>2.9486051644589542</v>
      </c>
    </row>
    <row r="27" spans="2:17" x14ac:dyDescent="0.25">
      <c r="B27" s="193" t="s">
        <v>68</v>
      </c>
      <c r="C27" s="204">
        <v>29.02</v>
      </c>
      <c r="D27" s="159">
        <f>[4]FOCO!D26</f>
        <v>22024721.745000001</v>
      </c>
      <c r="E27" s="205">
        <v>35.046669106037996</v>
      </c>
      <c r="F27" s="206">
        <f t="shared" si="1"/>
        <v>24.532668374226596</v>
      </c>
      <c r="G27" s="197">
        <f t="shared" si="2"/>
        <v>2.8533382073325637E-2</v>
      </c>
      <c r="H27" s="197">
        <f t="shared" si="3"/>
        <v>0.30828416884260101</v>
      </c>
      <c r="I27" s="198">
        <f t="shared" si="4"/>
        <v>9.2485250652780307E-2</v>
      </c>
      <c r="J27" s="199">
        <f t="shared" si="5"/>
        <v>24.625153624879378</v>
      </c>
      <c r="K27" s="200">
        <f>[4]Datos!$L$40*FOCO!F27/100</f>
        <v>1969979.4036174892</v>
      </c>
      <c r="L27" s="201">
        <f>[4]Datos!$K$40*22.5%*FOCO!I27/100</f>
        <v>7426.5887487309219</v>
      </c>
      <c r="M27" s="202">
        <f t="shared" si="6"/>
        <v>1977405.9923662201</v>
      </c>
      <c r="N27" s="202">
        <f t="shared" si="7"/>
        <v>24002127.737366222</v>
      </c>
      <c r="O27" s="199"/>
      <c r="P27">
        <f>MINVERSE(E27)</f>
        <v>2.8533382073325637E-2</v>
      </c>
      <c r="Q27">
        <f t="shared" si="8"/>
        <v>0.30828416884260101</v>
      </c>
    </row>
    <row r="28" spans="2:17" x14ac:dyDescent="0.25">
      <c r="B28" s="193" t="s">
        <v>69</v>
      </c>
      <c r="C28" s="204">
        <v>2.73</v>
      </c>
      <c r="D28" s="159">
        <f>[4]FOCO!D27</f>
        <v>2071932.8175000001</v>
      </c>
      <c r="E28" s="205">
        <v>2.7677955057194654</v>
      </c>
      <c r="F28" s="206">
        <f t="shared" si="1"/>
        <v>1.9374568540036257</v>
      </c>
      <c r="G28" s="197">
        <f t="shared" si="2"/>
        <v>0.36129836829836831</v>
      </c>
      <c r="H28" s="197">
        <f t="shared" si="3"/>
        <v>3.9035879759650411</v>
      </c>
      <c r="I28" s="198">
        <f t="shared" si="4"/>
        <v>1.1710763927895123</v>
      </c>
      <c r="J28" s="199">
        <f t="shared" si="5"/>
        <v>3.1085332467931379</v>
      </c>
      <c r="K28" s="200">
        <f>[4]Datos!$L$40*FOCO!F28/100</f>
        <v>155578.26974070462</v>
      </c>
      <c r="L28" s="201">
        <f>[4]Datos!$K$40*22.5%*FOCO!I28/100</f>
        <v>94037.727110096035</v>
      </c>
      <c r="M28" s="202">
        <f t="shared" si="6"/>
        <v>249615.99685080064</v>
      </c>
      <c r="N28" s="202">
        <f t="shared" si="7"/>
        <v>2321548.8143508006</v>
      </c>
      <c r="O28" s="199"/>
      <c r="P28">
        <f t="shared" ref="P28:P29" si="9">MINVERSE(E28)</f>
        <v>0.36129836829836831</v>
      </c>
      <c r="Q28">
        <f t="shared" si="8"/>
        <v>3.9035879759650411</v>
      </c>
    </row>
    <row r="29" spans="2:17" ht="15.75" thickBot="1" x14ac:dyDescent="0.3">
      <c r="B29" s="193" t="s">
        <v>70</v>
      </c>
      <c r="C29" s="204">
        <v>3.89</v>
      </c>
      <c r="D29" s="159">
        <f>[4]FOCO!D28</f>
        <v>2952314.5275000008</v>
      </c>
      <c r="E29" s="207">
        <v>4.5256175465147246</v>
      </c>
      <c r="F29" s="208">
        <f t="shared" si="1"/>
        <v>3.1679322825603071</v>
      </c>
      <c r="G29" s="197">
        <f t="shared" si="2"/>
        <v>0.22096431917233517</v>
      </c>
      <c r="H29" s="197">
        <f t="shared" si="3"/>
        <v>2.3873721420355629</v>
      </c>
      <c r="I29" s="198">
        <f t="shared" si="4"/>
        <v>0.71621164261066883</v>
      </c>
      <c r="J29" s="199">
        <f t="shared" si="5"/>
        <v>3.8841439251709762</v>
      </c>
      <c r="K29" s="200">
        <f>[4]Datos!$L$40*FOCO!F29/100</f>
        <v>254385.7542726633</v>
      </c>
      <c r="L29" s="201">
        <f>[4]Datos!$K$40*22.5%*FOCO!I29/100</f>
        <v>57511.973954547364</v>
      </c>
      <c r="M29" s="202">
        <f t="shared" si="6"/>
        <v>311897.72822721064</v>
      </c>
      <c r="N29" s="202">
        <f t="shared" si="7"/>
        <v>3264212.2557272115</v>
      </c>
      <c r="O29" s="199"/>
      <c r="P29">
        <f t="shared" si="9"/>
        <v>0.22096431917233517</v>
      </c>
      <c r="Q29">
        <f t="shared" si="8"/>
        <v>2.3873721420355629</v>
      </c>
    </row>
    <row r="30" spans="2:17" ht="15.75" thickBot="1" x14ac:dyDescent="0.3">
      <c r="B30" s="209" t="s">
        <v>71</v>
      </c>
      <c r="C30" s="210">
        <f>SUM(C10:C29)</f>
        <v>100</v>
      </c>
      <c r="D30" s="211">
        <f>SUM(D10:D29)</f>
        <v>75894975</v>
      </c>
      <c r="E30" s="212">
        <f t="shared" ref="E30" si="10">SUM(E10:E29)</f>
        <v>99.999999999999986</v>
      </c>
      <c r="F30" s="221">
        <f>SUM(F10:F29)</f>
        <v>70</v>
      </c>
      <c r="G30" s="213">
        <f>SUM(G10:G29)</f>
        <v>9.2555456806131922</v>
      </c>
      <c r="H30" s="214">
        <f t="shared" si="3"/>
        <v>100</v>
      </c>
      <c r="I30" s="215">
        <f>SUM(I10:I29)</f>
        <v>30.000000000000007</v>
      </c>
      <c r="J30" s="216">
        <f t="shared" si="5"/>
        <v>100</v>
      </c>
      <c r="K30" s="217">
        <f>SUM(K10:K29)</f>
        <v>5621017.4999999991</v>
      </c>
      <c r="L30" s="218">
        <f>SUM(L10:L29)</f>
        <v>2409007.5</v>
      </c>
      <c r="M30" s="219">
        <f t="shared" si="6"/>
        <v>8030024.9999999991</v>
      </c>
      <c r="N30" s="219">
        <f t="shared" si="7"/>
        <v>83925000</v>
      </c>
      <c r="O30" s="220"/>
      <c r="P30">
        <f>SUM(P10:P29)</f>
        <v>9.2555456806131922</v>
      </c>
      <c r="Q30">
        <f>SUM(Q10:Q29)</f>
        <v>100.00000000000001</v>
      </c>
    </row>
    <row r="32" spans="2:17" x14ac:dyDescent="0.25">
      <c r="B32" s="22" t="s">
        <v>72</v>
      </c>
    </row>
  </sheetData>
  <mergeCells count="4">
    <mergeCell ref="B4:N4"/>
    <mergeCell ref="B5:B9"/>
    <mergeCell ref="E5:F5"/>
    <mergeCell ref="G5:I5"/>
  </mergeCells>
  <pageMargins left="0.70866141732283472" right="0.70866141732283472" top="0.74803149606299213" bottom="0.74803149606299213" header="0.31496062992125984" footer="0.31496062992125984"/>
  <pageSetup scale="56" orientation="landscape" r:id="rId1"/>
  <ignoredErrors>
    <ignoredError sqref="C9:E9 D8 K8:L8" numberStoredAsText="1"/>
    <ignoredError sqref="H30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32"/>
  <sheetViews>
    <sheetView topLeftCell="B10" workbookViewId="0">
      <selection activeCell="G25" sqref="G25"/>
    </sheetView>
  </sheetViews>
  <sheetFormatPr baseColWidth="10" defaultRowHeight="15" x14ac:dyDescent="0.25"/>
  <cols>
    <col min="1" max="1" width="3.5703125" customWidth="1"/>
    <col min="2" max="2" width="20.42578125" customWidth="1"/>
    <col min="3" max="4" width="15.28515625" customWidth="1"/>
    <col min="5" max="8" width="14.7109375" customWidth="1"/>
    <col min="9" max="9" width="12.7109375" customWidth="1"/>
    <col min="10" max="10" width="15.5703125" customWidth="1"/>
    <col min="11" max="11" width="14.140625" customWidth="1"/>
    <col min="12" max="12" width="17.5703125" customWidth="1"/>
    <col min="13" max="13" width="16.5703125" hidden="1" customWidth="1"/>
    <col min="14" max="14" width="14.85546875" hidden="1" customWidth="1"/>
    <col min="15" max="16" width="15.42578125" style="23" customWidth="1"/>
    <col min="17" max="17" width="15.85546875" customWidth="1"/>
    <col min="18" max="18" width="14.7109375" customWidth="1"/>
    <col min="19" max="19" width="15.140625" customWidth="1"/>
  </cols>
  <sheetData>
    <row r="2" spans="2:23" x14ac:dyDescent="0.25"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Q2" s="60"/>
    </row>
    <row r="3" spans="2:23" x14ac:dyDescent="0.25">
      <c r="B3" s="22"/>
      <c r="C3" s="22"/>
      <c r="D3" s="22"/>
      <c r="E3" s="22"/>
      <c r="F3" s="22"/>
      <c r="G3" s="22"/>
      <c r="H3" s="22"/>
      <c r="I3" s="22"/>
      <c r="J3" s="22"/>
      <c r="K3" s="22"/>
      <c r="L3" s="60"/>
      <c r="M3" s="22"/>
      <c r="N3" s="22"/>
      <c r="O3" s="25"/>
      <c r="P3" s="25"/>
    </row>
    <row r="4" spans="2:23" ht="15.75" thickBot="1" x14ac:dyDescent="0.3">
      <c r="B4" s="407" t="s">
        <v>218</v>
      </c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61"/>
      <c r="N4" s="61"/>
      <c r="O4" s="61"/>
      <c r="P4" s="61"/>
      <c r="Q4" s="61"/>
    </row>
    <row r="5" spans="2:23" ht="15" customHeight="1" thickBot="1" x14ac:dyDescent="0.3">
      <c r="B5" s="362" t="s">
        <v>38</v>
      </c>
      <c r="C5" s="362" t="s">
        <v>73</v>
      </c>
      <c r="D5" s="392"/>
      <c r="E5" s="396" t="s">
        <v>74</v>
      </c>
      <c r="F5" s="408"/>
      <c r="G5" s="366" t="s">
        <v>75</v>
      </c>
      <c r="H5" s="367"/>
      <c r="I5" s="367"/>
      <c r="J5" s="368"/>
      <c r="K5" s="62" t="s">
        <v>76</v>
      </c>
      <c r="L5" s="63" t="s">
        <v>77</v>
      </c>
      <c r="M5" s="382"/>
      <c r="N5" s="382"/>
      <c r="O5" s="61"/>
      <c r="P5" s="61"/>
      <c r="Q5" s="61"/>
      <c r="R5" s="61"/>
      <c r="S5" s="24"/>
      <c r="T5" s="24"/>
      <c r="U5" s="64"/>
      <c r="V5" s="64"/>
      <c r="W5" s="64"/>
    </row>
    <row r="6" spans="2:23" x14ac:dyDescent="0.25">
      <c r="B6" s="383"/>
      <c r="C6" s="65" t="s">
        <v>78</v>
      </c>
      <c r="D6" s="402" t="s">
        <v>79</v>
      </c>
      <c r="E6" s="66" t="s">
        <v>80</v>
      </c>
      <c r="F6" s="402" t="s">
        <v>79</v>
      </c>
      <c r="G6" s="65"/>
      <c r="H6" s="67" t="s">
        <v>81</v>
      </c>
      <c r="I6" s="67"/>
      <c r="J6" s="68" t="s">
        <v>79</v>
      </c>
      <c r="K6" s="69" t="s">
        <v>82</v>
      </c>
      <c r="L6" s="70" t="s">
        <v>83</v>
      </c>
      <c r="M6" s="382"/>
      <c r="N6" s="382"/>
      <c r="O6" s="61"/>
      <c r="P6" s="61"/>
      <c r="Q6" s="61"/>
      <c r="R6" s="61"/>
      <c r="S6" s="24"/>
      <c r="T6" s="24"/>
      <c r="U6" s="64"/>
      <c r="V6" s="64"/>
      <c r="W6" s="64"/>
    </row>
    <row r="7" spans="2:23" x14ac:dyDescent="0.25">
      <c r="B7" s="383"/>
      <c r="C7" s="65" t="s">
        <v>84</v>
      </c>
      <c r="D7" s="402"/>
      <c r="E7" s="66" t="s">
        <v>85</v>
      </c>
      <c r="F7" s="402"/>
      <c r="G7" s="65"/>
      <c r="H7" s="67"/>
      <c r="I7" s="67"/>
      <c r="J7" s="68"/>
      <c r="K7" s="69"/>
      <c r="L7" s="70"/>
      <c r="M7" s="71"/>
      <c r="N7" s="71"/>
      <c r="O7" s="61"/>
      <c r="P7" s="61"/>
      <c r="Q7" s="61"/>
      <c r="R7" s="61"/>
      <c r="S7" s="24"/>
      <c r="T7" s="24"/>
      <c r="U7" s="64"/>
      <c r="V7" s="64"/>
      <c r="W7" s="64"/>
    </row>
    <row r="8" spans="2:23" x14ac:dyDescent="0.25">
      <c r="B8" s="383"/>
      <c r="C8" s="403">
        <v>0.6</v>
      </c>
      <c r="D8" s="404"/>
      <c r="E8" s="405">
        <v>0.3</v>
      </c>
      <c r="F8" s="406"/>
      <c r="G8" s="72">
        <v>1</v>
      </c>
      <c r="H8" s="73"/>
      <c r="I8" s="73">
        <v>0.1</v>
      </c>
      <c r="J8" s="74"/>
      <c r="K8" s="69" t="s">
        <v>86</v>
      </c>
      <c r="L8" s="75"/>
      <c r="M8" s="61"/>
      <c r="N8" s="61"/>
      <c r="O8" s="61"/>
      <c r="P8" s="61"/>
      <c r="Q8" s="61"/>
      <c r="R8" s="61"/>
      <c r="S8" s="24"/>
      <c r="T8" s="24"/>
      <c r="U8" s="64"/>
      <c r="V8" s="64"/>
      <c r="W8" s="64"/>
    </row>
    <row r="9" spans="2:23" ht="15.75" thickBot="1" x14ac:dyDescent="0.3">
      <c r="B9" s="384"/>
      <c r="C9" s="76">
        <v>1</v>
      </c>
      <c r="D9" s="77" t="s">
        <v>87</v>
      </c>
      <c r="E9" s="78">
        <v>3</v>
      </c>
      <c r="F9" s="77" t="s">
        <v>88</v>
      </c>
      <c r="G9" s="76" t="s">
        <v>89</v>
      </c>
      <c r="H9" s="79" t="s">
        <v>90</v>
      </c>
      <c r="I9" s="79" t="s">
        <v>91</v>
      </c>
      <c r="J9" s="80" t="s">
        <v>92</v>
      </c>
      <c r="K9" s="81" t="s">
        <v>93</v>
      </c>
      <c r="L9" s="82" t="s">
        <v>94</v>
      </c>
      <c r="M9" s="83"/>
      <c r="N9" s="83"/>
      <c r="O9" s="83"/>
      <c r="P9" s="83"/>
      <c r="Q9" s="83"/>
      <c r="R9" s="61"/>
      <c r="S9" s="83"/>
      <c r="T9" s="83"/>
      <c r="U9" s="64"/>
      <c r="V9" s="64"/>
      <c r="W9" s="64"/>
    </row>
    <row r="10" spans="2:23" x14ac:dyDescent="0.25">
      <c r="B10" s="84" t="s">
        <v>51</v>
      </c>
      <c r="C10" s="85">
        <v>3.3707564846877225</v>
      </c>
      <c r="D10" s="86">
        <f>C10*60%</f>
        <v>2.0224538908126335</v>
      </c>
      <c r="E10" s="87">
        <v>6.3423828522887202</v>
      </c>
      <c r="F10" s="86">
        <f>E10*30%</f>
        <v>1.902714855686616</v>
      </c>
      <c r="G10" s="85">
        <f>D10+F10</f>
        <v>3.9251687464992493</v>
      </c>
      <c r="H10" s="88">
        <f>1/G10</f>
        <v>0.25476611697060736</v>
      </c>
      <c r="I10" s="88">
        <f t="shared" ref="I10:I29" si="0">H10/$H$30*100</f>
        <v>3.8691721754794082</v>
      </c>
      <c r="J10" s="89">
        <f>I10*10%</f>
        <v>0.38691721754794084</v>
      </c>
      <c r="K10" s="90">
        <f t="shared" ref="K10:K29" si="1">D10+F10+J10</f>
        <v>4.3120859640471902</v>
      </c>
      <c r="L10" s="91">
        <f>[4]Datos!K$58*K10%*22.5%</f>
        <v>242554.83547765444</v>
      </c>
      <c r="M10" s="92">
        <v>242554.84</v>
      </c>
      <c r="N10" s="93">
        <f>L10-M10</f>
        <v>-4.5223455526866019E-3</v>
      </c>
      <c r="O10" s="94"/>
      <c r="P10" s="95"/>
      <c r="Q10" s="95"/>
      <c r="R10" s="94"/>
      <c r="S10" s="96"/>
      <c r="T10" s="97"/>
      <c r="U10" s="98"/>
      <c r="V10" s="64"/>
      <c r="W10" s="64"/>
    </row>
    <row r="11" spans="2:23" x14ac:dyDescent="0.25">
      <c r="B11" s="84" t="s">
        <v>52</v>
      </c>
      <c r="C11" s="85">
        <v>1.4036216369164749</v>
      </c>
      <c r="D11" s="86">
        <f t="shared" ref="D11:D29" si="2">C11*60%</f>
        <v>0.8421729821498849</v>
      </c>
      <c r="E11" s="87">
        <v>4.8747369734108545</v>
      </c>
      <c r="F11" s="86">
        <f t="shared" ref="F11:F29" si="3">E11*30%</f>
        <v>1.4624210920232563</v>
      </c>
      <c r="G11" s="85">
        <f t="shared" ref="G11:G29" si="4">D11+F11</f>
        <v>2.3045940741731412</v>
      </c>
      <c r="H11" s="88">
        <f t="shared" ref="H11:H29" si="5">1/G11</f>
        <v>0.43391589486698962</v>
      </c>
      <c r="I11" s="88">
        <f t="shared" si="0"/>
        <v>6.5899473873572454</v>
      </c>
      <c r="J11" s="89">
        <f t="shared" ref="J11:J29" si="6">I11*10%</f>
        <v>0.65899473873572456</v>
      </c>
      <c r="K11" s="90">
        <f t="shared" si="1"/>
        <v>2.9635888129088657</v>
      </c>
      <c r="L11" s="91">
        <f>[4]Datos!K$58*K11%*22.5%</f>
        <v>166701.87072612369</v>
      </c>
      <c r="M11" s="92">
        <v>166701.88</v>
      </c>
      <c r="N11" s="93">
        <f t="shared" ref="N11:N30" si="7">L11-M11</f>
        <v>-9.2738763196393847E-3</v>
      </c>
      <c r="O11" s="94"/>
      <c r="P11" s="99"/>
      <c r="Q11" s="95"/>
      <c r="R11" s="94"/>
      <c r="S11" s="96"/>
      <c r="T11" s="97"/>
      <c r="U11" s="98"/>
      <c r="V11" s="64"/>
      <c r="W11" s="64"/>
    </row>
    <row r="12" spans="2:23" x14ac:dyDescent="0.25">
      <c r="B12" s="84" t="s">
        <v>53</v>
      </c>
      <c r="C12" s="85">
        <v>1.0311720319010782</v>
      </c>
      <c r="D12" s="86">
        <f t="shared" si="2"/>
        <v>0.61870321914064685</v>
      </c>
      <c r="E12" s="87">
        <v>3.9787441024444163</v>
      </c>
      <c r="F12" s="86">
        <f t="shared" si="3"/>
        <v>1.1936232307333248</v>
      </c>
      <c r="G12" s="85">
        <f t="shared" si="4"/>
        <v>1.8123264498739715</v>
      </c>
      <c r="H12" s="88">
        <f t="shared" si="5"/>
        <v>0.55177697156576822</v>
      </c>
      <c r="I12" s="88">
        <f t="shared" si="0"/>
        <v>8.3799216741952822</v>
      </c>
      <c r="J12" s="89">
        <f t="shared" si="6"/>
        <v>0.83799216741952831</v>
      </c>
      <c r="K12" s="90">
        <f t="shared" si="1"/>
        <v>2.6503186172934998</v>
      </c>
      <c r="L12" s="91">
        <f>[4]Datos!K$58*K12%*22.5%</f>
        <v>149080.42222275937</v>
      </c>
      <c r="M12" s="92">
        <v>149080.42000000001</v>
      </c>
      <c r="N12" s="93">
        <f t="shared" si="7"/>
        <v>2.2227593581192195E-3</v>
      </c>
      <c r="O12" s="94"/>
      <c r="P12" s="95"/>
      <c r="Q12" s="95"/>
      <c r="R12" s="94"/>
      <c r="S12" s="96"/>
      <c r="T12" s="97"/>
      <c r="U12" s="98"/>
      <c r="V12" s="64"/>
      <c r="W12" s="64"/>
    </row>
    <row r="13" spans="2:23" x14ac:dyDescent="0.25">
      <c r="B13" s="84" t="s">
        <v>54</v>
      </c>
      <c r="C13" s="85">
        <v>11.447687005923617</v>
      </c>
      <c r="D13" s="86">
        <f t="shared" si="2"/>
        <v>6.8686122035541706</v>
      </c>
      <c r="E13" s="87">
        <v>4.7794922547559926</v>
      </c>
      <c r="F13" s="86">
        <f t="shared" si="3"/>
        <v>1.4338476764267978</v>
      </c>
      <c r="G13" s="85">
        <f t="shared" si="4"/>
        <v>8.3024598799809688</v>
      </c>
      <c r="H13" s="88">
        <f t="shared" si="5"/>
        <v>0.12044623093105417</v>
      </c>
      <c r="I13" s="88">
        <f t="shared" si="0"/>
        <v>1.8292354214966822</v>
      </c>
      <c r="J13" s="89">
        <f t="shared" si="6"/>
        <v>0.18292354214966822</v>
      </c>
      <c r="K13" s="90">
        <f t="shared" si="1"/>
        <v>8.4853834221306368</v>
      </c>
      <c r="L13" s="91">
        <f>[4]Datos!K$58*K13%*22.5%</f>
        <v>477302.81749484834</v>
      </c>
      <c r="M13" s="92">
        <v>477302.79</v>
      </c>
      <c r="N13" s="93">
        <f t="shared" si="7"/>
        <v>2.7494848356582224E-2</v>
      </c>
      <c r="O13" s="94"/>
      <c r="P13" s="95"/>
      <c r="Q13" s="95"/>
      <c r="R13" s="94"/>
      <c r="S13" s="96"/>
      <c r="T13" s="97"/>
      <c r="U13" s="98"/>
      <c r="V13" s="64"/>
      <c r="W13" s="64"/>
    </row>
    <row r="14" spans="2:23" x14ac:dyDescent="0.25">
      <c r="B14" s="84" t="s">
        <v>55</v>
      </c>
      <c r="C14" s="85">
        <v>6.4885126808905982</v>
      </c>
      <c r="D14" s="86">
        <f t="shared" si="2"/>
        <v>3.8931076085343586</v>
      </c>
      <c r="E14" s="87">
        <v>4.8396147698123535</v>
      </c>
      <c r="F14" s="86">
        <f t="shared" si="3"/>
        <v>1.451884430943706</v>
      </c>
      <c r="G14" s="85">
        <f t="shared" si="4"/>
        <v>5.3449920394780648</v>
      </c>
      <c r="H14" s="88">
        <f t="shared" si="5"/>
        <v>0.18709101765054253</v>
      </c>
      <c r="I14" s="88">
        <f t="shared" si="0"/>
        <v>2.8413800405770662</v>
      </c>
      <c r="J14" s="89">
        <f t="shared" si="6"/>
        <v>0.28413800405770662</v>
      </c>
      <c r="K14" s="90">
        <f t="shared" si="1"/>
        <v>5.6291300435357714</v>
      </c>
      <c r="L14" s="91">
        <f>[4]Datos!K$58*K14%*22.5%</f>
        <v>316638.5649488871</v>
      </c>
      <c r="M14" s="92">
        <v>316638.56</v>
      </c>
      <c r="N14" s="93">
        <f t="shared" si="7"/>
        <v>4.9488871009089053E-3</v>
      </c>
      <c r="O14" s="94"/>
      <c r="P14" s="95"/>
      <c r="Q14" s="95"/>
      <c r="R14" s="94"/>
      <c r="S14" s="96"/>
      <c r="T14" s="97"/>
      <c r="U14" s="98"/>
      <c r="V14" s="64"/>
      <c r="W14" s="64"/>
    </row>
    <row r="15" spans="2:23" x14ac:dyDescent="0.25">
      <c r="B15" s="84" t="s">
        <v>56</v>
      </c>
      <c r="C15" s="85">
        <v>3.1613515100292262</v>
      </c>
      <c r="D15" s="86">
        <f t="shared" si="2"/>
        <v>1.8968109060175355</v>
      </c>
      <c r="E15" s="87">
        <v>4.8859352991166247</v>
      </c>
      <c r="F15" s="86">
        <f t="shared" si="3"/>
        <v>1.4657805897349874</v>
      </c>
      <c r="G15" s="85">
        <f t="shared" si="4"/>
        <v>3.3625914957525227</v>
      </c>
      <c r="H15" s="88">
        <f t="shared" si="5"/>
        <v>0.29738967735544325</v>
      </c>
      <c r="I15" s="88">
        <f t="shared" si="0"/>
        <v>4.5165027382005887</v>
      </c>
      <c r="J15" s="89">
        <f t="shared" si="6"/>
        <v>0.4516502738200589</v>
      </c>
      <c r="K15" s="90">
        <f t="shared" si="1"/>
        <v>3.8142417695725817</v>
      </c>
      <c r="L15" s="91">
        <f>[4]Datos!K$58*K15%*22.5%</f>
        <v>214551.09953845773</v>
      </c>
      <c r="M15" s="92">
        <v>214551.11</v>
      </c>
      <c r="N15" s="93">
        <f t="shared" si="7"/>
        <v>-1.0461542260600254E-2</v>
      </c>
      <c r="O15" s="94"/>
      <c r="P15" s="95"/>
      <c r="Q15" s="95"/>
      <c r="R15" s="94"/>
      <c r="S15" s="96"/>
      <c r="T15" s="97"/>
      <c r="U15" s="98"/>
      <c r="V15" s="64"/>
      <c r="W15" s="64"/>
    </row>
    <row r="16" spans="2:23" x14ac:dyDescent="0.25">
      <c r="B16" s="84" t="s">
        <v>57</v>
      </c>
      <c r="C16" s="85">
        <v>1.050711580592804</v>
      </c>
      <c r="D16" s="86">
        <f t="shared" si="2"/>
        <v>0.63042694835568236</v>
      </c>
      <c r="E16" s="87">
        <v>4.009568855684738</v>
      </c>
      <c r="F16" s="86">
        <f t="shared" si="3"/>
        <v>1.2028706567054213</v>
      </c>
      <c r="G16" s="85">
        <f t="shared" si="4"/>
        <v>1.8332976050611036</v>
      </c>
      <c r="H16" s="88">
        <f t="shared" si="5"/>
        <v>0.54546517556088236</v>
      </c>
      <c r="I16" s="88">
        <f t="shared" si="0"/>
        <v>8.2840634581585544</v>
      </c>
      <c r="J16" s="89">
        <f t="shared" si="6"/>
        <v>0.82840634581585548</v>
      </c>
      <c r="K16" s="90">
        <f t="shared" si="1"/>
        <v>2.6617039508769591</v>
      </c>
      <c r="L16" s="91">
        <f>[4]Datos!K$58*K16%*22.5%</f>
        <v>149720.84723682897</v>
      </c>
      <c r="M16" s="92">
        <v>149720.85</v>
      </c>
      <c r="N16" s="93">
        <f t="shared" si="7"/>
        <v>-2.7631710399873555E-3</v>
      </c>
      <c r="O16" s="94"/>
      <c r="P16" s="95"/>
      <c r="Q16" s="95"/>
      <c r="R16" s="94"/>
      <c r="S16" s="96"/>
      <c r="T16" s="97"/>
      <c r="U16" s="98"/>
      <c r="V16" s="64"/>
      <c r="W16" s="64"/>
    </row>
    <row r="17" spans="2:23" x14ac:dyDescent="0.25">
      <c r="B17" s="84" t="s">
        <v>58</v>
      </c>
      <c r="C17" s="85">
        <v>2.5136892050445216</v>
      </c>
      <c r="D17" s="86">
        <f t="shared" si="2"/>
        <v>1.5082135230267129</v>
      </c>
      <c r="E17" s="87">
        <v>7.5369203970102321</v>
      </c>
      <c r="F17" s="86">
        <f t="shared" si="3"/>
        <v>2.2610761191030697</v>
      </c>
      <c r="G17" s="85">
        <f t="shared" si="4"/>
        <v>3.7692896421297828</v>
      </c>
      <c r="H17" s="88">
        <f t="shared" si="5"/>
        <v>0.26530197860702592</v>
      </c>
      <c r="I17" s="88">
        <f t="shared" si="0"/>
        <v>4.0291819254927299</v>
      </c>
      <c r="J17" s="89">
        <f t="shared" si="6"/>
        <v>0.40291819254927302</v>
      </c>
      <c r="K17" s="90">
        <f t="shared" si="1"/>
        <v>4.1722078346790559</v>
      </c>
      <c r="L17" s="91">
        <f>[4]Datos!K$58*K17%*22.5%</f>
        <v>234686.6907006969</v>
      </c>
      <c r="M17" s="92">
        <v>234686.7</v>
      </c>
      <c r="N17" s="93">
        <f t="shared" si="7"/>
        <v>-9.2993031139485538E-3</v>
      </c>
      <c r="O17" s="94"/>
      <c r="P17" s="95"/>
      <c r="Q17" s="95"/>
      <c r="R17" s="94"/>
      <c r="S17" s="96"/>
      <c r="T17" s="97"/>
      <c r="U17" s="98"/>
      <c r="V17" s="64"/>
      <c r="W17" s="64"/>
    </row>
    <row r="18" spans="2:23" x14ac:dyDescent="0.25">
      <c r="B18" s="84" t="s">
        <v>59</v>
      </c>
      <c r="C18" s="85">
        <v>1.6311836450290742</v>
      </c>
      <c r="D18" s="86">
        <f t="shared" si="2"/>
        <v>0.9787101870174445</v>
      </c>
      <c r="E18" s="87">
        <v>5.9361538809380185</v>
      </c>
      <c r="F18" s="86">
        <f t="shared" si="3"/>
        <v>1.7808461642814055</v>
      </c>
      <c r="G18" s="85">
        <f t="shared" si="4"/>
        <v>2.7595563512988499</v>
      </c>
      <c r="H18" s="88">
        <f t="shared" si="5"/>
        <v>0.36237708990045686</v>
      </c>
      <c r="I18" s="88">
        <f t="shared" si="0"/>
        <v>5.5034765609581013</v>
      </c>
      <c r="J18" s="89">
        <f t="shared" si="6"/>
        <v>0.55034765609581016</v>
      </c>
      <c r="K18" s="90">
        <f t="shared" si="1"/>
        <v>3.30990400739466</v>
      </c>
      <c r="L18" s="91">
        <f>[4]Datos!K$58*K18%*22.5%</f>
        <v>186182.10041594965</v>
      </c>
      <c r="M18" s="92">
        <v>186182.1</v>
      </c>
      <c r="N18" s="93">
        <f t="shared" si="7"/>
        <v>4.1594964568503201E-4</v>
      </c>
      <c r="O18" s="94"/>
      <c r="P18" s="95"/>
      <c r="Q18" s="95"/>
      <c r="R18" s="94"/>
      <c r="S18" s="96"/>
      <c r="T18" s="97"/>
      <c r="U18" s="98"/>
      <c r="V18" s="64"/>
      <c r="W18" s="64"/>
    </row>
    <row r="19" spans="2:23" x14ac:dyDescent="0.25">
      <c r="B19" s="84" t="s">
        <v>60</v>
      </c>
      <c r="C19" s="85">
        <v>1.2534804821107137</v>
      </c>
      <c r="D19" s="86">
        <f t="shared" si="2"/>
        <v>0.75208828926642823</v>
      </c>
      <c r="E19" s="87">
        <v>4.8230792844533079</v>
      </c>
      <c r="F19" s="86">
        <f t="shared" si="3"/>
        <v>1.4469237853359924</v>
      </c>
      <c r="G19" s="85">
        <f t="shared" si="4"/>
        <v>2.1990120746024209</v>
      </c>
      <c r="H19" s="88">
        <f t="shared" si="5"/>
        <v>0.45474966306440084</v>
      </c>
      <c r="I19" s="88">
        <f t="shared" si="0"/>
        <v>6.906353027080173</v>
      </c>
      <c r="J19" s="89">
        <f t="shared" si="6"/>
        <v>0.69063530270801732</v>
      </c>
      <c r="K19" s="90">
        <f t="shared" si="1"/>
        <v>2.8896473773104381</v>
      </c>
      <c r="L19" s="91">
        <f>[4]Datos!K$58*K19%*22.5%</f>
        <v>162542.66497371215</v>
      </c>
      <c r="M19" s="92">
        <v>162542.64000000001</v>
      </c>
      <c r="N19" s="93">
        <f t="shared" si="7"/>
        <v>2.4973712133942172E-2</v>
      </c>
      <c r="O19" s="94"/>
      <c r="P19" s="95"/>
      <c r="Q19" s="95"/>
      <c r="R19" s="94"/>
      <c r="S19" s="96"/>
      <c r="T19" s="97"/>
      <c r="U19" s="98"/>
      <c r="V19" s="64"/>
      <c r="W19" s="64"/>
    </row>
    <row r="20" spans="2:23" x14ac:dyDescent="0.25">
      <c r="B20" s="84" t="s">
        <v>61</v>
      </c>
      <c r="C20" s="85">
        <v>3.1699231045024834</v>
      </c>
      <c r="D20" s="86">
        <f t="shared" si="2"/>
        <v>1.90195386270149</v>
      </c>
      <c r="E20" s="87">
        <v>4.1063513873665975</v>
      </c>
      <c r="F20" s="86">
        <f t="shared" si="3"/>
        <v>1.2319054162099792</v>
      </c>
      <c r="G20" s="85">
        <f t="shared" si="4"/>
        <v>3.1338592789114692</v>
      </c>
      <c r="H20" s="88">
        <f t="shared" si="5"/>
        <v>0.31909537442515451</v>
      </c>
      <c r="I20" s="88">
        <f t="shared" si="0"/>
        <v>4.8461504957208756</v>
      </c>
      <c r="J20" s="89">
        <f t="shared" si="6"/>
        <v>0.48461504957208756</v>
      </c>
      <c r="K20" s="90">
        <f t="shared" si="1"/>
        <v>3.6184743284835568</v>
      </c>
      <c r="L20" s="91">
        <f>[4]Datos!K$58*K20%*22.5%</f>
        <v>203539.18097720007</v>
      </c>
      <c r="M20" s="92">
        <v>203539.16</v>
      </c>
      <c r="N20" s="93">
        <f t="shared" si="7"/>
        <v>2.0977200067136437E-2</v>
      </c>
      <c r="O20" s="94"/>
      <c r="P20" s="95"/>
      <c r="Q20" s="95"/>
      <c r="R20" s="94"/>
      <c r="S20" s="96"/>
      <c r="T20" s="97"/>
      <c r="U20" s="98"/>
      <c r="V20" s="64"/>
      <c r="W20" s="64"/>
    </row>
    <row r="21" spans="2:23" x14ac:dyDescent="0.25">
      <c r="B21" s="84" t="s">
        <v>62</v>
      </c>
      <c r="C21" s="85">
        <v>2.1630833407835541</v>
      </c>
      <c r="D21" s="86">
        <f t="shared" si="2"/>
        <v>1.2978500044701324</v>
      </c>
      <c r="E21" s="87">
        <v>5.2077346983143604</v>
      </c>
      <c r="F21" s="86">
        <f t="shared" si="3"/>
        <v>1.5623204094943082</v>
      </c>
      <c r="G21" s="85">
        <f t="shared" si="4"/>
        <v>2.8601704139644406</v>
      </c>
      <c r="H21" s="88">
        <f t="shared" si="5"/>
        <v>0.34962951686991073</v>
      </c>
      <c r="I21" s="88">
        <f t="shared" si="0"/>
        <v>5.3098772100665101</v>
      </c>
      <c r="J21" s="89">
        <f t="shared" si="6"/>
        <v>0.53098772100665104</v>
      </c>
      <c r="K21" s="90">
        <f t="shared" si="1"/>
        <v>3.3911581349710915</v>
      </c>
      <c r="L21" s="91">
        <f>[4]Datos!K$58*K21%*22.5%</f>
        <v>190752.64509212392</v>
      </c>
      <c r="M21" s="92">
        <v>190752.64000000001</v>
      </c>
      <c r="N21" s="93">
        <f t="shared" si="7"/>
        <v>5.0921239017043263E-3</v>
      </c>
      <c r="O21" s="94"/>
      <c r="P21" s="95"/>
      <c r="Q21" s="95"/>
      <c r="R21" s="94"/>
      <c r="S21" s="96"/>
      <c r="T21" s="97"/>
      <c r="U21" s="98"/>
      <c r="V21" s="64"/>
      <c r="W21" s="64"/>
    </row>
    <row r="22" spans="2:23" x14ac:dyDescent="0.25">
      <c r="B22" s="84" t="s">
        <v>63</v>
      </c>
      <c r="C22" s="85">
        <v>3.9742704697510276</v>
      </c>
      <c r="D22" s="86">
        <f t="shared" si="2"/>
        <v>2.3845622818506165</v>
      </c>
      <c r="E22" s="87">
        <v>4.8186763914888475</v>
      </c>
      <c r="F22" s="86">
        <f t="shared" si="3"/>
        <v>1.4456029174466543</v>
      </c>
      <c r="G22" s="85">
        <f t="shared" si="4"/>
        <v>3.8301651992972707</v>
      </c>
      <c r="H22" s="88">
        <f t="shared" si="5"/>
        <v>0.26108534435628844</v>
      </c>
      <c r="I22" s="88">
        <f t="shared" si="0"/>
        <v>3.9651432530384603</v>
      </c>
      <c r="J22" s="89">
        <f t="shared" si="6"/>
        <v>0.39651432530384606</v>
      </c>
      <c r="K22" s="90">
        <f t="shared" si="1"/>
        <v>4.2266795246011171</v>
      </c>
      <c r="L22" s="91">
        <f>[4]Datos!K$58*K22%*22.5%</f>
        <v>237750.72325881288</v>
      </c>
      <c r="M22" s="92">
        <v>237750.75</v>
      </c>
      <c r="N22" s="93">
        <f t="shared" si="7"/>
        <v>-2.674118711729534E-2</v>
      </c>
      <c r="O22" s="94"/>
      <c r="P22" s="95"/>
      <c r="Q22" s="95"/>
      <c r="R22" s="94"/>
      <c r="S22" s="96"/>
      <c r="T22" s="97"/>
      <c r="U22" s="98"/>
      <c r="V22" s="64"/>
      <c r="W22" s="64"/>
    </row>
    <row r="23" spans="2:23" x14ac:dyDescent="0.25">
      <c r="B23" s="84" t="s">
        <v>64</v>
      </c>
      <c r="C23" s="85">
        <v>0.69217929563613667</v>
      </c>
      <c r="D23" s="86">
        <f t="shared" si="2"/>
        <v>0.415307577381682</v>
      </c>
      <c r="E23" s="87">
        <v>2.9110739805529704</v>
      </c>
      <c r="F23" s="86">
        <f t="shared" si="3"/>
        <v>0.87332219416589107</v>
      </c>
      <c r="G23" s="85">
        <f t="shared" si="4"/>
        <v>1.2886297715475732</v>
      </c>
      <c r="H23" s="88">
        <f t="shared" si="5"/>
        <v>0.77601807910976262</v>
      </c>
      <c r="I23" s="88">
        <f t="shared" si="0"/>
        <v>11.785505839879322</v>
      </c>
      <c r="J23" s="89">
        <f t="shared" si="6"/>
        <v>1.1785505839879322</v>
      </c>
      <c r="K23" s="90">
        <f t="shared" si="1"/>
        <v>2.4671803555355054</v>
      </c>
      <c r="L23" s="91">
        <f>[4]Datos!K$58*K23%*22.5%</f>
        <v>138778.89499887219</v>
      </c>
      <c r="M23" s="92">
        <v>138778.88</v>
      </c>
      <c r="N23" s="93">
        <f t="shared" si="7"/>
        <v>1.4998872182331979E-2</v>
      </c>
      <c r="O23" s="94"/>
      <c r="P23" s="95"/>
      <c r="Q23" s="95"/>
      <c r="R23" s="94"/>
      <c r="S23" s="96"/>
      <c r="T23" s="97"/>
      <c r="U23" s="98"/>
      <c r="V23" s="64"/>
      <c r="W23" s="64"/>
    </row>
    <row r="24" spans="2:23" x14ac:dyDescent="0.25">
      <c r="B24" s="84" t="s">
        <v>65</v>
      </c>
      <c r="C24" s="85">
        <v>2.0656621003724496</v>
      </c>
      <c r="D24" s="86">
        <f t="shared" si="2"/>
        <v>1.2393972602234697</v>
      </c>
      <c r="E24" s="87">
        <v>4.3304906658341711</v>
      </c>
      <c r="F24" s="86">
        <f t="shared" si="3"/>
        <v>1.2991471997502513</v>
      </c>
      <c r="G24" s="85">
        <f t="shared" si="4"/>
        <v>2.5385444599737212</v>
      </c>
      <c r="H24" s="88">
        <f t="shared" si="5"/>
        <v>0.39392652591570204</v>
      </c>
      <c r="I24" s="88">
        <f t="shared" si="0"/>
        <v>5.9826226948073611</v>
      </c>
      <c r="J24" s="89">
        <f t="shared" si="6"/>
        <v>0.59826226948073613</v>
      </c>
      <c r="K24" s="90">
        <f t="shared" si="1"/>
        <v>3.1368067294544573</v>
      </c>
      <c r="L24" s="91">
        <f>[4]Datos!K$58*K24%*22.5%</f>
        <v>176445.37853181324</v>
      </c>
      <c r="M24" s="92">
        <v>176445.39</v>
      </c>
      <c r="N24" s="93">
        <f t="shared" si="7"/>
        <v>-1.1468186770798638E-2</v>
      </c>
      <c r="O24" s="94"/>
      <c r="P24" s="95"/>
      <c r="Q24" s="95"/>
      <c r="R24" s="94"/>
      <c r="S24" s="96"/>
      <c r="T24" s="97"/>
      <c r="U24" s="98"/>
      <c r="V24" s="64"/>
      <c r="W24" s="64"/>
    </row>
    <row r="25" spans="2:23" x14ac:dyDescent="0.25">
      <c r="B25" s="84" t="s">
        <v>66</v>
      </c>
      <c r="C25" s="85">
        <v>8.5784148817626882</v>
      </c>
      <c r="D25" s="86">
        <f t="shared" si="2"/>
        <v>5.1470489290576129</v>
      </c>
      <c r="E25" s="87">
        <v>5.3086882085256404</v>
      </c>
      <c r="F25" s="86">
        <f t="shared" si="3"/>
        <v>1.5926064625576921</v>
      </c>
      <c r="G25" s="85">
        <f t="shared" si="4"/>
        <v>6.7396553916153046</v>
      </c>
      <c r="H25" s="88">
        <f t="shared" si="5"/>
        <v>0.14837553879150611</v>
      </c>
      <c r="I25" s="88">
        <f t="shared" si="0"/>
        <v>2.2534021126525801</v>
      </c>
      <c r="J25" s="89">
        <f t="shared" si="6"/>
        <v>0.22534021126525802</v>
      </c>
      <c r="K25" s="90">
        <f t="shared" si="1"/>
        <v>6.9649956028805624</v>
      </c>
      <c r="L25" s="91">
        <f>[4]Datos!K$58*K25%*22.5%</f>
        <v>391781.00266203168</v>
      </c>
      <c r="M25" s="92">
        <v>391781.03</v>
      </c>
      <c r="N25" s="93">
        <f t="shared" si="7"/>
        <v>-2.7337968349456787E-2</v>
      </c>
      <c r="O25" s="94"/>
      <c r="P25" s="95"/>
      <c r="Q25" s="95"/>
      <c r="R25" s="94"/>
      <c r="S25" s="96"/>
      <c r="T25" s="97"/>
      <c r="U25" s="98"/>
      <c r="V25" s="64"/>
      <c r="W25" s="64"/>
    </row>
    <row r="26" spans="2:23" x14ac:dyDescent="0.25">
      <c r="B26" s="84" t="s">
        <v>67</v>
      </c>
      <c r="C26" s="85">
        <v>3.6642183857936419</v>
      </c>
      <c r="D26" s="86">
        <f t="shared" si="2"/>
        <v>2.1985310314761852</v>
      </c>
      <c r="E26" s="87">
        <v>4.864796565169633</v>
      </c>
      <c r="F26" s="86">
        <f t="shared" si="3"/>
        <v>1.4594389695508898</v>
      </c>
      <c r="G26" s="85">
        <f t="shared" si="4"/>
        <v>3.657970001027075</v>
      </c>
      <c r="H26" s="88">
        <f t="shared" si="5"/>
        <v>0.27337567003535368</v>
      </c>
      <c r="I26" s="88">
        <f t="shared" si="0"/>
        <v>4.1517983181250999</v>
      </c>
      <c r="J26" s="89">
        <f t="shared" si="6"/>
        <v>0.41517983181251</v>
      </c>
      <c r="K26" s="90">
        <f t="shared" si="1"/>
        <v>4.0731498328395848</v>
      </c>
      <c r="L26" s="91">
        <f>[4]Datos!K$58*K26%*22.5%</f>
        <v>229114.67809722666</v>
      </c>
      <c r="M26" s="92">
        <v>229114.69</v>
      </c>
      <c r="N26" s="93">
        <f t="shared" si="7"/>
        <v>-1.1902773345354944E-2</v>
      </c>
      <c r="O26" s="94"/>
      <c r="P26" s="95"/>
      <c r="Q26" s="95"/>
      <c r="R26" s="94"/>
      <c r="S26" s="96"/>
      <c r="T26" s="97"/>
      <c r="U26" s="98"/>
      <c r="V26" s="64"/>
      <c r="W26" s="64"/>
    </row>
    <row r="27" spans="2:23" x14ac:dyDescent="0.25">
      <c r="B27" s="84" t="s">
        <v>68</v>
      </c>
      <c r="C27" s="85">
        <v>35.046669106037996</v>
      </c>
      <c r="D27" s="86">
        <f t="shared" si="2"/>
        <v>21.028001463622797</v>
      </c>
      <c r="E27" s="87">
        <v>5.7978942563195188</v>
      </c>
      <c r="F27" s="86">
        <f t="shared" si="3"/>
        <v>1.7393682768958556</v>
      </c>
      <c r="G27" s="85">
        <f t="shared" si="4"/>
        <v>22.767369740518653</v>
      </c>
      <c r="H27" s="88">
        <f t="shared" si="5"/>
        <v>4.3922508897473525E-2</v>
      </c>
      <c r="I27" s="88">
        <f t="shared" si="0"/>
        <v>0.66705789342841804</v>
      </c>
      <c r="J27" s="89">
        <f t="shared" si="6"/>
        <v>6.6705789342841812E-2</v>
      </c>
      <c r="K27" s="90">
        <f t="shared" si="1"/>
        <v>22.834075529861494</v>
      </c>
      <c r="L27" s="91">
        <f>[4]Datos!K$58*K27%*22.5%</f>
        <v>1284416.7485547091</v>
      </c>
      <c r="M27" s="92">
        <v>1284416.78</v>
      </c>
      <c r="N27" s="93">
        <f t="shared" si="7"/>
        <v>-3.1445290893316269E-2</v>
      </c>
      <c r="O27" s="94"/>
      <c r="P27" s="95"/>
      <c r="Q27" s="95"/>
      <c r="R27" s="94"/>
      <c r="S27" s="96"/>
      <c r="T27" s="97"/>
      <c r="U27" s="98"/>
      <c r="V27" s="64"/>
      <c r="W27" s="64"/>
    </row>
    <row r="28" spans="2:23" x14ac:dyDescent="0.25">
      <c r="B28" s="84" t="s">
        <v>69</v>
      </c>
      <c r="C28" s="85">
        <v>2.7677955057194654</v>
      </c>
      <c r="D28" s="86">
        <f t="shared" si="2"/>
        <v>1.6606773034316793</v>
      </c>
      <c r="E28" s="87">
        <v>4.8271447622480794</v>
      </c>
      <c r="F28" s="86">
        <f t="shared" si="3"/>
        <v>1.4481434286744237</v>
      </c>
      <c r="G28" s="85">
        <f t="shared" si="4"/>
        <v>3.108820732106103</v>
      </c>
      <c r="H28" s="88">
        <f t="shared" si="5"/>
        <v>0.32166537931009603</v>
      </c>
      <c r="I28" s="88">
        <f t="shared" si="0"/>
        <v>4.8851815549131343</v>
      </c>
      <c r="J28" s="89">
        <f t="shared" si="6"/>
        <v>0.48851815549131344</v>
      </c>
      <c r="K28" s="90">
        <f t="shared" si="1"/>
        <v>3.5973388875974166</v>
      </c>
      <c r="L28" s="91">
        <f>[4]Datos!K$58*K28%*22.5%</f>
        <v>202350.31242735469</v>
      </c>
      <c r="M28" s="92">
        <v>202350.32</v>
      </c>
      <c r="N28" s="93">
        <f t="shared" si="7"/>
        <v>-7.5726453214883804E-3</v>
      </c>
      <c r="O28" s="94"/>
      <c r="P28" s="95"/>
      <c r="Q28" s="95"/>
      <c r="R28" s="94"/>
      <c r="S28" s="96"/>
      <c r="T28" s="97"/>
      <c r="U28" s="98"/>
      <c r="V28" s="64"/>
      <c r="W28" s="64"/>
    </row>
    <row r="29" spans="2:23" ht="15.75" thickBot="1" x14ac:dyDescent="0.3">
      <c r="B29" s="84" t="s">
        <v>70</v>
      </c>
      <c r="C29" s="85">
        <v>4.5256175465147246</v>
      </c>
      <c r="D29" s="86">
        <f t="shared" si="2"/>
        <v>2.7153705279088345</v>
      </c>
      <c r="E29" s="87">
        <v>5.8205204142649469</v>
      </c>
      <c r="F29" s="86">
        <f t="shared" si="3"/>
        <v>1.7461561242794841</v>
      </c>
      <c r="G29" s="85">
        <f t="shared" si="4"/>
        <v>4.4615266521883186</v>
      </c>
      <c r="H29" s="88">
        <f t="shared" si="5"/>
        <v>0.22413852431196696</v>
      </c>
      <c r="I29" s="88">
        <f t="shared" si="0"/>
        <v>3.404026218372401</v>
      </c>
      <c r="J29" s="89">
        <f t="shared" si="6"/>
        <v>0.34040262183724013</v>
      </c>
      <c r="K29" s="90">
        <f t="shared" si="1"/>
        <v>4.801929274025559</v>
      </c>
      <c r="L29" s="91">
        <f>[4]Datos!K$58*K29%*22.5%</f>
        <v>270108.52166393772</v>
      </c>
      <c r="M29" s="92">
        <v>270108.51</v>
      </c>
      <c r="N29" s="93">
        <f t="shared" si="7"/>
        <v>1.1663937708362937E-2</v>
      </c>
      <c r="O29" s="94"/>
      <c r="P29" s="95"/>
      <c r="Q29" s="95"/>
      <c r="R29" s="94"/>
      <c r="S29" s="96"/>
      <c r="T29" s="97"/>
      <c r="U29" s="98"/>
      <c r="V29" s="64"/>
      <c r="W29" s="64"/>
    </row>
    <row r="30" spans="2:23" ht="15.75" thickBot="1" x14ac:dyDescent="0.3">
      <c r="B30" s="100" t="s">
        <v>71</v>
      </c>
      <c r="C30" s="101">
        <f>SUM(C10:C29)</f>
        <v>99.999999999999986</v>
      </c>
      <c r="D30" s="102">
        <f t="shared" ref="D30:K30" si="8">SUM(D10:D29)</f>
        <v>59.999999999999993</v>
      </c>
      <c r="E30" s="103">
        <f t="shared" si="8"/>
        <v>100.00000000000003</v>
      </c>
      <c r="F30" s="102">
        <f t="shared" si="8"/>
        <v>30.000000000000004</v>
      </c>
      <c r="G30" s="101">
        <f>SUM(G10:G29)</f>
        <v>90</v>
      </c>
      <c r="H30" s="104">
        <f>SUM(H10:H29)</f>
        <v>6.5845122784963861</v>
      </c>
      <c r="I30" s="105">
        <f t="shared" si="8"/>
        <v>100</v>
      </c>
      <c r="J30" s="106">
        <f t="shared" si="8"/>
        <v>10.000000000000002</v>
      </c>
      <c r="K30" s="107">
        <f t="shared" si="8"/>
        <v>100</v>
      </c>
      <c r="L30" s="108">
        <f>SUM(L10:L29)</f>
        <v>5625000.0000000009</v>
      </c>
      <c r="M30" s="109">
        <f>SUM(M10:M29)</f>
        <v>5625000.04</v>
      </c>
      <c r="N30" s="93">
        <f t="shared" si="7"/>
        <v>-3.9999999105930328E-2</v>
      </c>
      <c r="O30" s="110"/>
      <c r="P30" s="111"/>
      <c r="Q30" s="111"/>
      <c r="R30" s="110"/>
      <c r="S30" s="24"/>
      <c r="T30" s="97"/>
      <c r="U30" s="98"/>
      <c r="V30" s="64"/>
      <c r="W30" s="64"/>
    </row>
    <row r="31" spans="2:23" x14ac:dyDescent="0.25">
      <c r="B31" s="22"/>
      <c r="C31" s="22"/>
      <c r="D31" s="22"/>
      <c r="E31" s="22"/>
      <c r="F31" s="22"/>
      <c r="G31" s="22"/>
      <c r="H31" s="22"/>
      <c r="I31" s="22"/>
      <c r="J31" s="22"/>
      <c r="K31" s="112"/>
      <c r="L31" s="113"/>
      <c r="M31" s="113"/>
      <c r="N31" s="94"/>
      <c r="O31" s="114"/>
      <c r="P31" s="114"/>
      <c r="Q31" s="64"/>
      <c r="R31" s="64"/>
      <c r="S31" s="64"/>
      <c r="T31" s="64"/>
      <c r="U31" s="64"/>
      <c r="V31" s="64"/>
      <c r="W31" s="64"/>
    </row>
    <row r="32" spans="2:23" x14ac:dyDescent="0.25">
      <c r="B32" s="22" t="s">
        <v>72</v>
      </c>
      <c r="C32" s="22"/>
      <c r="D32" s="22"/>
      <c r="E32" s="22"/>
      <c r="F32" s="22"/>
      <c r="G32" s="22"/>
      <c r="H32" s="22"/>
      <c r="I32" s="22"/>
      <c r="J32" s="22"/>
      <c r="K32" s="22"/>
      <c r="L32" s="115"/>
      <c r="M32" s="22"/>
      <c r="N32" s="22"/>
      <c r="O32" s="25"/>
      <c r="P32" s="25"/>
    </row>
  </sheetData>
  <mergeCells count="10">
    <mergeCell ref="B4:L4"/>
    <mergeCell ref="B5:B9"/>
    <mergeCell ref="C5:D5"/>
    <mergeCell ref="E5:F5"/>
    <mergeCell ref="G5:J5"/>
    <mergeCell ref="M5:N6"/>
    <mergeCell ref="D6:D7"/>
    <mergeCell ref="F6:F7"/>
    <mergeCell ref="C8:D8"/>
    <mergeCell ref="E8:F8"/>
  </mergeCells>
  <pageMargins left="0.70866141732283472" right="0.70866141732283472" top="0.74803149606299213" bottom="0.74803149606299213" header="0.31496062992125984" footer="0.31496062992125984"/>
  <pageSetup scale="70" orientation="landscape" r:id="rId1"/>
  <ignoredErrors>
    <ignoredError sqref="L9" numberStoredAsText="1"/>
    <ignoredError sqref="C30 E3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ANEXO I</vt:lpstr>
      <vt:lpstr>ANEXOII</vt:lpstr>
      <vt:lpstr>FGP </vt:lpstr>
      <vt:lpstr>FFM </vt:lpstr>
      <vt:lpstr>IEPS </vt:lpstr>
      <vt:lpstr>GASOLINA </vt:lpstr>
      <vt:lpstr>FOFIR</vt:lpstr>
      <vt:lpstr>FOCO</vt:lpstr>
      <vt:lpstr>ISAN y fondo compensacion isan</vt:lpstr>
      <vt:lpstr>CENSO </vt:lpstr>
      <vt:lpstr>datos de predial y agua</vt:lpstr>
    </vt:vector>
  </TitlesOfParts>
  <Company>www.intercambiosvirtuales.org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www.intercambiosvirtuales.org</dc:creator>
  <cp:lastModifiedBy>Palmira González</cp:lastModifiedBy>
  <cp:lastPrinted>2015-02-10T02:52:35Z</cp:lastPrinted>
  <dcterms:created xsi:type="dcterms:W3CDTF">2015-02-09T20:22:41Z</dcterms:created>
  <dcterms:modified xsi:type="dcterms:W3CDTF">2015-05-26T19:49:05Z</dcterms:modified>
</cp:coreProperties>
</file>